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W:\Audyt 2024 przegląd ksiąg\1 - BILANS\"/>
    </mc:Choice>
  </mc:AlternateContent>
  <bookViews>
    <workbookView xWindow="-38520" yWindow="-120" windowWidth="38640" windowHeight="21840" tabRatio="694" activeTab="2"/>
  </bookViews>
  <sheets>
    <sheet name="Bilans" sheetId="73" r:id="rId1"/>
    <sheet name="RZiS" sheetId="74" r:id="rId2"/>
    <sheet name="Fundusz" sheetId="75" r:id="rId3"/>
    <sheet name="Załącznik 21" sheetId="67" r:id="rId4"/>
    <sheet name="Załącznik 9" sheetId="76" r:id="rId5"/>
    <sheet name="Załącznik 10" sheetId="77" r:id="rId6"/>
    <sheet name="Załącznik 11" sheetId="78" r:id="rId7"/>
    <sheet name="BExRepositorySheet" sheetId="2" state="veryHidden" r:id="rId8"/>
    <sheet name="Załącznik 12N" sheetId="71" r:id="rId9"/>
    <sheet name="Załącznik 12Z" sheetId="79" r:id="rId10"/>
    <sheet name="Załącznik 13" sheetId="14" r:id="rId11"/>
    <sheet name="Załącznik 13A" sheetId="15" r:id="rId12"/>
    <sheet name="Załącznik 13B" sheetId="68" r:id="rId13"/>
    <sheet name="Załącznik 14" sheetId="16" r:id="rId14"/>
    <sheet name="Załącznik 14A" sheetId="17" r:id="rId15"/>
    <sheet name="Załącznik 15" sheetId="18" r:id="rId16"/>
    <sheet name="Załącznik 16" sheetId="63" r:id="rId17"/>
    <sheet name="Załącznik 16A" sheetId="62" r:id="rId18"/>
    <sheet name="Załącznik 17" sheetId="65" r:id="rId19"/>
    <sheet name="Załącznik 18" sheetId="21" r:id="rId20"/>
    <sheet name="Załącznik 19" sheetId="22" r:id="rId21"/>
    <sheet name="Załącznik 22" sheetId="70" r:id="rId22"/>
    <sheet name="Załącznik 23 " sheetId="69" r:id="rId23"/>
  </sheets>
  <externalReferences>
    <externalReference r:id="rId24"/>
  </externalReferences>
  <definedNames>
    <definedName name="_xlnm.Print_Area" localSheetId="0">Bilans!$A$2:$F$56</definedName>
    <definedName name="_xlnm.Print_Area" localSheetId="5">'Załącznik 10'!$A$1:$J$314</definedName>
    <definedName name="_xlnm.Print_Area" localSheetId="6">'Załącznik 11'!$A$1:$E$65</definedName>
    <definedName name="_xlnm.Print_Area" localSheetId="8">'Załącznik 12N'!$A$1:$G$55</definedName>
    <definedName name="_xlnm.Print_Area" localSheetId="9">'Załącznik 12Z'!$A$1:$G$61</definedName>
    <definedName name="_xlnm.Print_Area" localSheetId="11">'Załącznik 13A'!$A$1:$J$28</definedName>
    <definedName name="_xlnm.Print_Area" localSheetId="12">'Załącznik 13B'!$A$1:$J$27</definedName>
    <definedName name="_xlnm.Print_Area" localSheetId="13">'Załącznik 14'!$A$1:$J$25</definedName>
    <definedName name="_xlnm.Print_Area" localSheetId="14">'Załącznik 14A'!$A$1:$I$24</definedName>
    <definedName name="_xlnm.Print_Area" localSheetId="18">'Załącznik 17'!$A$1:$I$24</definedName>
    <definedName name="_xlnm.Print_Area" localSheetId="19">'Załącznik 18'!$A$1:$M$43</definedName>
    <definedName name="_xlnm.Print_Area" localSheetId="20">'Załącznik 19'!$A$1:$D$23</definedName>
    <definedName name="Z_17151551_8460_47BF_8C20_7FE2DB216614_.wvu.Cols" localSheetId="13" hidden="1">'Załącznik 14'!#REF!</definedName>
    <definedName name="Z_17151551_8460_47BF_8C20_7FE2DB216614_.wvu.Cols" localSheetId="4" hidden="1">'Załącznik 9'!#REF!</definedName>
    <definedName name="Z_17151551_8460_47BF_8C20_7FE2DB216614_.wvu.PrintArea" localSheetId="20" hidden="1">'Załącznik 19'!$A$1:$E$25</definedName>
    <definedName name="Z_DE9178B7_7BAA_4669_9575_43FAD4CFD495_.wvu.PrintArea" localSheetId="20" hidden="1">'Załącznik 19'!$A$1:$E$25</definedName>
  </definedNames>
  <calcPr calcId="162913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75" l="1"/>
  <c r="K18" i="75"/>
  <c r="K28" i="75" l="1"/>
  <c r="K37" i="75" l="1"/>
  <c r="C122" i="67" l="1"/>
  <c r="K27" i="75" l="1"/>
  <c r="K16" i="75"/>
  <c r="G23" i="67"/>
  <c r="F26" i="67"/>
  <c r="G24" i="67"/>
  <c r="F594" i="67" l="1"/>
  <c r="F592" i="67"/>
  <c r="F575" i="67"/>
  <c r="F571" i="67"/>
  <c r="F603" i="67"/>
  <c r="F625" i="67"/>
  <c r="D424" i="67"/>
  <c r="D423" i="67"/>
  <c r="H91" i="77" l="1"/>
  <c r="H89" i="77"/>
  <c r="H240" i="77"/>
  <c r="C46" i="73"/>
  <c r="F30" i="73"/>
  <c r="F31" i="79"/>
  <c r="F37" i="79"/>
  <c r="F21" i="71" l="1"/>
  <c r="F9" i="17"/>
  <c r="E17" i="68"/>
  <c r="D17" i="68"/>
  <c r="C17" i="68"/>
  <c r="E10" i="68"/>
  <c r="C10" i="68"/>
  <c r="C42" i="73"/>
  <c r="F33" i="71"/>
  <c r="F39" i="71"/>
  <c r="F35" i="71"/>
  <c r="F31" i="71"/>
  <c r="F29" i="71"/>
  <c r="F41" i="79"/>
  <c r="F21" i="79"/>
  <c r="F19" i="79"/>
  <c r="D428" i="67"/>
  <c r="D422" i="67"/>
  <c r="E640" i="67" l="1"/>
  <c r="E646" i="67" s="1"/>
  <c r="E645" i="67"/>
  <c r="C645" i="67"/>
  <c r="D642" i="67"/>
  <c r="D641" i="67"/>
  <c r="F495" i="67"/>
  <c r="F523" i="67"/>
  <c r="F520" i="67"/>
  <c r="F509" i="67"/>
  <c r="F508" i="67" l="1"/>
  <c r="F538" i="67" s="1"/>
  <c r="H538" i="67" s="1"/>
  <c r="K16" i="74"/>
  <c r="D365" i="67" l="1"/>
  <c r="D357" i="67"/>
  <c r="H179" i="67"/>
  <c r="H177" i="67"/>
  <c r="H180" i="67" s="1"/>
  <c r="G177" i="67"/>
  <c r="G180" i="67" s="1"/>
  <c r="F179" i="67"/>
  <c r="F177" i="67"/>
  <c r="E180" i="67"/>
  <c r="K48" i="74"/>
  <c r="K44" i="74"/>
  <c r="K40" i="74"/>
  <c r="K36" i="74"/>
  <c r="F180" i="67" l="1"/>
  <c r="H146" i="77" l="1"/>
  <c r="H130" i="77"/>
  <c r="O130" i="77" s="1"/>
  <c r="H256" i="77"/>
  <c r="I16" i="74"/>
  <c r="H243" i="77"/>
  <c r="F32" i="73" l="1"/>
  <c r="F26" i="73"/>
  <c r="C48" i="73"/>
  <c r="C44" i="73" s="1"/>
  <c r="F14" i="18" l="1"/>
  <c r="J14" i="16"/>
  <c r="J17" i="16"/>
  <c r="H12" i="14"/>
  <c r="H10" i="14" s="1"/>
  <c r="J11" i="14"/>
  <c r="J17" i="14"/>
  <c r="J22" i="14"/>
  <c r="G56" i="79"/>
  <c r="G50" i="71"/>
  <c r="C24" i="78"/>
  <c r="C21" i="78"/>
  <c r="E51" i="78"/>
  <c r="D38" i="78"/>
  <c r="D25" i="78"/>
  <c r="D22" i="78"/>
  <c r="E18" i="78"/>
  <c r="E13" i="78"/>
  <c r="F31" i="73"/>
  <c r="F25" i="73" s="1"/>
  <c r="H242" i="77"/>
  <c r="H248" i="77" s="1"/>
  <c r="O248" i="77" s="1"/>
  <c r="L56" i="79" l="1"/>
  <c r="H14" i="77"/>
  <c r="H21" i="77" s="1"/>
  <c r="C39" i="73"/>
  <c r="C38" i="73" s="1"/>
  <c r="E622" i="67" l="1"/>
  <c r="E619" i="67"/>
  <c r="E629" i="67" s="1"/>
  <c r="E605" i="67"/>
  <c r="E603" i="67"/>
  <c r="E602" i="67" s="1"/>
  <c r="F589" i="67"/>
  <c r="E589" i="67"/>
  <c r="E588" i="67"/>
  <c r="E585" i="67" s="1"/>
  <c r="E575" i="67"/>
  <c r="E565" i="67" s="1"/>
  <c r="E560" i="67"/>
  <c r="E523" i="67"/>
  <c r="E520" i="67"/>
  <c r="E517" i="67"/>
  <c r="E509" i="67"/>
  <c r="E495" i="67"/>
  <c r="E508" i="67" l="1"/>
  <c r="E613" i="67"/>
  <c r="E583" i="67"/>
  <c r="E595" i="67" s="1"/>
  <c r="E538" i="67"/>
  <c r="E576" i="67"/>
  <c r="C466" i="67"/>
  <c r="B466" i="67"/>
  <c r="D418" i="67"/>
  <c r="D383" i="67"/>
  <c r="G200" i="67"/>
  <c r="C197" i="67"/>
  <c r="C218" i="67" s="1"/>
  <c r="F198" i="67"/>
  <c r="K31" i="74" l="1"/>
  <c r="C23" i="73" l="1"/>
  <c r="C18" i="73"/>
  <c r="C17" i="73" s="1"/>
  <c r="C22" i="73"/>
  <c r="C20" i="73"/>
  <c r="C21" i="73"/>
  <c r="C19" i="73"/>
  <c r="C14" i="73"/>
  <c r="H34" i="67" l="1"/>
  <c r="G34" i="67"/>
  <c r="F34" i="67"/>
  <c r="E34" i="67"/>
  <c r="D34" i="67"/>
  <c r="C34" i="67"/>
  <c r="B34" i="67"/>
  <c r="I33" i="67"/>
  <c r="I32" i="67"/>
  <c r="I31" i="67"/>
  <c r="I28" i="67"/>
  <c r="G27" i="67"/>
  <c r="G26" i="67" s="1"/>
  <c r="E27" i="67"/>
  <c r="H26" i="67"/>
  <c r="E26" i="67"/>
  <c r="D26" i="67"/>
  <c r="C26" i="67"/>
  <c r="B26" i="67"/>
  <c r="I25" i="67"/>
  <c r="I24" i="67"/>
  <c r="E23" i="67"/>
  <c r="H22" i="67"/>
  <c r="G22" i="67"/>
  <c r="F22" i="67"/>
  <c r="D22" i="67"/>
  <c r="C22" i="67"/>
  <c r="B22" i="67"/>
  <c r="G21" i="67"/>
  <c r="E21" i="67"/>
  <c r="I18" i="67"/>
  <c r="G17" i="67"/>
  <c r="G16" i="67" s="1"/>
  <c r="E17" i="67"/>
  <c r="E16" i="67" s="1"/>
  <c r="H16" i="67"/>
  <c r="F16" i="67"/>
  <c r="D16" i="67"/>
  <c r="C16" i="67"/>
  <c r="B16" i="67"/>
  <c r="I15" i="67"/>
  <c r="G14" i="67"/>
  <c r="D14" i="67"/>
  <c r="G13" i="67"/>
  <c r="D13" i="67"/>
  <c r="H12" i="67"/>
  <c r="F12" i="67"/>
  <c r="E12" i="67"/>
  <c r="C12" i="67"/>
  <c r="B12" i="67"/>
  <c r="G11" i="67"/>
  <c r="E11" i="67"/>
  <c r="D11" i="67"/>
  <c r="I11" i="67" l="1"/>
  <c r="D29" i="67"/>
  <c r="B29" i="67"/>
  <c r="I23" i="67"/>
  <c r="G12" i="67"/>
  <c r="G19" i="67" s="1"/>
  <c r="C19" i="67"/>
  <c r="I13" i="67"/>
  <c r="F19" i="67"/>
  <c r="H29" i="67"/>
  <c r="G29" i="67"/>
  <c r="C29" i="67"/>
  <c r="F29" i="67"/>
  <c r="I34" i="67"/>
  <c r="I14" i="67"/>
  <c r="H19" i="67"/>
  <c r="I21" i="67"/>
  <c r="I26" i="67"/>
  <c r="I27" i="67"/>
  <c r="E19" i="67"/>
  <c r="I16" i="67"/>
  <c r="B19" i="67"/>
  <c r="E29" i="67"/>
  <c r="I17" i="67"/>
  <c r="E22" i="67"/>
  <c r="I22" i="67"/>
  <c r="D12" i="67"/>
  <c r="D19" i="67" s="1"/>
  <c r="I29" i="67" l="1"/>
  <c r="I19" i="67"/>
  <c r="I37" i="67" s="1"/>
  <c r="I12" i="67"/>
  <c r="C428" i="67" l="1"/>
  <c r="C424" i="67"/>
  <c r="C423" i="67"/>
  <c r="B122" i="67"/>
  <c r="C67" i="67"/>
  <c r="C57" i="67"/>
  <c r="C54" i="67"/>
  <c r="C60" i="67" s="1"/>
  <c r="C45" i="67"/>
  <c r="C51" i="67" s="1"/>
  <c r="C48" i="67"/>
  <c r="B36" i="67"/>
  <c r="C422" i="67" l="1"/>
  <c r="C421" i="67" s="1"/>
  <c r="I32" i="75"/>
  <c r="I28" i="75"/>
  <c r="I18" i="75"/>
  <c r="I16" i="75" s="1"/>
  <c r="I50" i="74" l="1"/>
  <c r="I46" i="74"/>
  <c r="I42" i="74"/>
  <c r="I39" i="74"/>
  <c r="I31" i="74"/>
  <c r="E31" i="73"/>
  <c r="E30" i="73"/>
  <c r="E26" i="73"/>
  <c r="E25" i="73" s="1"/>
  <c r="E37" i="73"/>
  <c r="B48" i="73"/>
  <c r="B46" i="73"/>
  <c r="B44" i="73" s="1"/>
  <c r="B42" i="73"/>
  <c r="B40" i="73"/>
  <c r="B39" i="73"/>
  <c r="B38" i="73" s="1"/>
  <c r="B33" i="73"/>
  <c r="B32" i="73" s="1"/>
  <c r="B26" i="73"/>
  <c r="B23" i="73"/>
  <c r="B22" i="73"/>
  <c r="B21" i="73"/>
  <c r="B20" i="73"/>
  <c r="B19" i="73"/>
  <c r="B18" i="73"/>
  <c r="B16" i="73" s="1"/>
  <c r="B15" i="73" s="1"/>
  <c r="B17" i="73"/>
  <c r="B14" i="73"/>
  <c r="B13" i="73" l="1"/>
  <c r="E23" i="73"/>
  <c r="O50" i="71" l="1"/>
  <c r="F602" i="67" l="1"/>
  <c r="F585" i="67"/>
  <c r="F565" i="67"/>
  <c r="F583" i="67" l="1"/>
  <c r="E53" i="78" l="1"/>
  <c r="G217" i="67" l="1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199" i="67"/>
  <c r="G198" i="67"/>
  <c r="E197" i="67"/>
  <c r="E218" i="67" s="1"/>
  <c r="D197" i="67"/>
  <c r="D218" i="67" s="1"/>
  <c r="C116" i="67"/>
  <c r="H36" i="67"/>
  <c r="G36" i="67"/>
  <c r="F36" i="67"/>
  <c r="E36" i="67"/>
  <c r="C36" i="67"/>
  <c r="F14" i="65"/>
  <c r="F18" i="65" s="1"/>
  <c r="E14" i="18"/>
  <c r="D10" i="18"/>
  <c r="C10" i="18"/>
  <c r="F10" i="17"/>
  <c r="E48" i="78"/>
  <c r="C47" i="78"/>
  <c r="E46" i="78"/>
  <c r="E47" i="78" s="1"/>
  <c r="C39" i="78"/>
  <c r="D39" i="78"/>
  <c r="E37" i="78"/>
  <c r="E39" i="78" s="1"/>
  <c r="E34" i="78"/>
  <c r="E30" i="78"/>
  <c r="E27" i="78"/>
  <c r="E24" i="78"/>
  <c r="D33" i="78"/>
  <c r="E21" i="78"/>
  <c r="D17" i="78"/>
  <c r="C17" i="78"/>
  <c r="O146" i="77"/>
  <c r="H80" i="77"/>
  <c r="K24" i="74"/>
  <c r="K35" i="74" s="1"/>
  <c r="K43" i="74" s="1"/>
  <c r="F37" i="73"/>
  <c r="F23" i="73" s="1"/>
  <c r="C33" i="73"/>
  <c r="C26" i="73"/>
  <c r="H93" i="77" l="1"/>
  <c r="O93" i="77" s="1"/>
  <c r="C37" i="67"/>
  <c r="C33" i="78"/>
  <c r="F197" i="67"/>
  <c r="F218" i="67" s="1"/>
  <c r="C16" i="73"/>
  <c r="C15" i="73" s="1"/>
  <c r="C13" i="73" s="1"/>
  <c r="G197" i="67"/>
  <c r="I36" i="67"/>
  <c r="H37" i="67"/>
  <c r="D36" i="67"/>
  <c r="E33" i="78"/>
  <c r="D37" i="67" l="1"/>
  <c r="G37" i="67"/>
  <c r="E37" i="67"/>
  <c r="F37" i="67"/>
  <c r="C32" i="73"/>
  <c r="K51" i="74"/>
  <c r="K54" i="74" s="1"/>
  <c r="F17" i="73" s="1"/>
  <c r="F15" i="73" s="1"/>
  <c r="D421" i="67"/>
  <c r="C365" i="67"/>
  <c r="C357" i="67"/>
  <c r="B37" i="67" l="1"/>
  <c r="M17" i="21"/>
  <c r="M18" i="21"/>
  <c r="M19" i="21"/>
  <c r="M20" i="21"/>
  <c r="M21" i="21"/>
  <c r="M22" i="21"/>
  <c r="M23" i="21"/>
  <c r="M24" i="21"/>
  <c r="M25" i="21"/>
  <c r="M26" i="21"/>
  <c r="M15" i="21"/>
  <c r="M13" i="21"/>
  <c r="M33" i="21"/>
  <c r="K34" i="21"/>
  <c r="K31" i="21"/>
  <c r="K29" i="21"/>
  <c r="K27" i="21"/>
  <c r="K16" i="21"/>
  <c r="K12" i="21"/>
  <c r="K10" i="21" s="1"/>
  <c r="J34" i="21"/>
  <c r="J31" i="21"/>
  <c r="J29" i="21"/>
  <c r="J27" i="21"/>
  <c r="J16" i="21"/>
  <c r="J12" i="21"/>
  <c r="I34" i="21"/>
  <c r="H34" i="21"/>
  <c r="I31" i="21"/>
  <c r="H31" i="21"/>
  <c r="I29" i="21"/>
  <c r="H29" i="21"/>
  <c r="I27" i="21"/>
  <c r="H27" i="21"/>
  <c r="I16" i="21"/>
  <c r="I11" i="21" s="1"/>
  <c r="H16" i="21"/>
  <c r="H11" i="21" s="1"/>
  <c r="I12" i="21"/>
  <c r="I10" i="21" s="1"/>
  <c r="H12" i="21"/>
  <c r="H10" i="21" s="1"/>
  <c r="G34" i="21"/>
  <c r="G31" i="21"/>
  <c r="G29" i="21"/>
  <c r="G27" i="21"/>
  <c r="G16" i="21"/>
  <c r="G12" i="21"/>
  <c r="G10" i="21" s="1"/>
  <c r="E34" i="21"/>
  <c r="E31" i="21"/>
  <c r="E29" i="21"/>
  <c r="E27" i="21"/>
  <c r="E16" i="21"/>
  <c r="E12" i="21"/>
  <c r="D34" i="21"/>
  <c r="D31" i="21"/>
  <c r="D29" i="21"/>
  <c r="D27" i="21"/>
  <c r="D16" i="21"/>
  <c r="D12" i="21"/>
  <c r="E10" i="21" l="1"/>
  <c r="D10" i="21"/>
  <c r="J10" i="21"/>
  <c r="D11" i="21"/>
  <c r="K41" i="75"/>
  <c r="K39" i="75" s="1"/>
  <c r="G11" i="21"/>
  <c r="E11" i="21"/>
  <c r="J11" i="21"/>
  <c r="F13" i="16"/>
  <c r="F11" i="16" s="1"/>
  <c r="E13" i="16"/>
  <c r="E11" i="16" s="1"/>
  <c r="D13" i="16"/>
  <c r="D11" i="16" l="1"/>
  <c r="J11" i="68"/>
  <c r="J17" i="68" l="1"/>
  <c r="G12" i="14"/>
  <c r="G10" i="14" s="1"/>
  <c r="O21" i="77" l="1"/>
  <c r="C338" i="67" l="1"/>
  <c r="D554" i="67" l="1"/>
  <c r="C554" i="67"/>
  <c r="F13" i="17"/>
  <c r="F560" i="67" l="1"/>
  <c r="D430" i="67" l="1"/>
  <c r="F430" i="67" s="1"/>
  <c r="F576" i="67"/>
  <c r="H576" i="67" s="1"/>
  <c r="G196" i="67" l="1"/>
  <c r="G195" i="67"/>
  <c r="G194" i="67"/>
  <c r="G193" i="67"/>
  <c r="G192" i="67"/>
  <c r="G191" i="67"/>
  <c r="G190" i="67"/>
  <c r="G189" i="67"/>
  <c r="G188" i="67"/>
  <c r="F15" i="15"/>
  <c r="G218" i="67" l="1"/>
  <c r="D640" i="67" l="1"/>
  <c r="I177" i="67" l="1"/>
  <c r="D95" i="67"/>
  <c r="C95" i="67"/>
  <c r="B95" i="67"/>
  <c r="D93" i="67"/>
  <c r="C93" i="67"/>
  <c r="B93" i="67"/>
  <c r="E92" i="67"/>
  <c r="E91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C65" i="67"/>
  <c r="E81" i="67" l="1"/>
  <c r="C88" i="67"/>
  <c r="C96" i="67" s="1"/>
  <c r="B88" i="67"/>
  <c r="B96" i="67" s="1"/>
  <c r="E84" i="67"/>
  <c r="D88" i="67"/>
  <c r="D96" i="67" s="1"/>
  <c r="E93" i="67"/>
  <c r="E95" i="67"/>
  <c r="C68" i="67" l="1"/>
  <c r="E88" i="67"/>
  <c r="E96" i="67" s="1"/>
  <c r="L34" i="21" l="1"/>
  <c r="F34" i="21"/>
  <c r="M34" i="21" s="1"/>
  <c r="M28" i="21"/>
  <c r="M30" i="21"/>
  <c r="M32" i="21"/>
  <c r="M35" i="21"/>
  <c r="M36" i="21"/>
  <c r="L31" i="21"/>
  <c r="F31" i="21"/>
  <c r="L29" i="21"/>
  <c r="F29" i="21"/>
  <c r="M29" i="21" s="1"/>
  <c r="M14" i="21"/>
  <c r="L27" i="21"/>
  <c r="F27" i="21"/>
  <c r="M27" i="21" s="1"/>
  <c r="L12" i="21"/>
  <c r="F12" i="21"/>
  <c r="L16" i="21"/>
  <c r="F16" i="21"/>
  <c r="M16" i="21" s="1"/>
  <c r="H13" i="18"/>
  <c r="H14" i="18"/>
  <c r="H15" i="18"/>
  <c r="H16" i="18"/>
  <c r="H17" i="18"/>
  <c r="H11" i="18"/>
  <c r="H12" i="18"/>
  <c r="H10" i="18"/>
  <c r="L10" i="21" l="1"/>
  <c r="L11" i="21"/>
  <c r="F10" i="21"/>
  <c r="M10" i="21" s="1"/>
  <c r="M12" i="21"/>
  <c r="F11" i="21"/>
  <c r="M11" i="21" s="1"/>
  <c r="M31" i="21"/>
  <c r="C50" i="78"/>
  <c r="D50" i="78"/>
  <c r="I27" i="75" l="1"/>
  <c r="I48" i="74"/>
  <c r="I44" i="74"/>
  <c r="I40" i="74"/>
  <c r="I36" i="74"/>
  <c r="I24" i="74"/>
  <c r="I35" i="74" l="1"/>
  <c r="I43" i="74" s="1"/>
  <c r="I51" i="74" s="1"/>
  <c r="I54" i="74" s="1"/>
  <c r="I38" i="75"/>
  <c r="K15" i="75" s="1"/>
  <c r="K38" i="75" s="1"/>
  <c r="E14" i="73" l="1"/>
  <c r="I41" i="75"/>
  <c r="I39" i="75" s="1"/>
  <c r="I43" i="75" s="1"/>
  <c r="E17" i="73"/>
  <c r="E15" i="73" s="1"/>
  <c r="E13" i="73" l="1"/>
  <c r="F14" i="73"/>
  <c r="F13" i="73" s="1"/>
  <c r="B53" i="73"/>
  <c r="C53" i="78"/>
  <c r="E50" i="78"/>
  <c r="E60" i="78" l="1"/>
  <c r="D60" i="78"/>
  <c r="C60" i="78"/>
  <c r="N60" i="78" l="1"/>
  <c r="I60" i="78"/>
  <c r="B456" i="67"/>
  <c r="C456" i="67"/>
  <c r="B461" i="67"/>
  <c r="C461" i="67"/>
  <c r="B471" i="67"/>
  <c r="B465" i="67" s="1"/>
  <c r="C471" i="67"/>
  <c r="C465" i="67" s="1"/>
  <c r="H28" i="77"/>
  <c r="O28" i="77" s="1"/>
  <c r="F641" i="67"/>
  <c r="C640" i="67"/>
  <c r="C455" i="67" l="1"/>
  <c r="B455" i="67"/>
  <c r="I179" i="67" l="1"/>
  <c r="I178" i="67"/>
  <c r="D12" i="14" l="1"/>
  <c r="D10" i="14" l="1"/>
  <c r="H297" i="77"/>
  <c r="O297" i="77" s="1"/>
  <c r="H290" i="77"/>
  <c r="O290" i="77" s="1"/>
  <c r="H266" i="77"/>
  <c r="O267" i="77" s="1"/>
  <c r="O256" i="77"/>
  <c r="H207" i="77"/>
  <c r="O207" i="77" s="1"/>
  <c r="H199" i="77"/>
  <c r="O199" i="77" s="1"/>
  <c r="H192" i="77"/>
  <c r="O192" i="77" s="1"/>
  <c r="H185" i="77"/>
  <c r="H175" i="77"/>
  <c r="O175" i="77" s="1"/>
  <c r="H109" i="77"/>
  <c r="H102" i="77"/>
  <c r="O102" i="77" s="1"/>
  <c r="G18" i="76"/>
  <c r="E18" i="76"/>
  <c r="D18" i="76"/>
  <c r="C18" i="76"/>
  <c r="B18" i="76"/>
  <c r="J37" i="75"/>
  <c r="J27" i="75"/>
  <c r="J16" i="75"/>
  <c r="J53" i="74"/>
  <c r="J47" i="74"/>
  <c r="J43" i="74"/>
  <c r="J39" i="74"/>
  <c r="J35" i="74"/>
  <c r="J24" i="74"/>
  <c r="J34" i="74" s="1"/>
  <c r="J16" i="74"/>
  <c r="E53" i="73"/>
  <c r="O185" i="77" l="1"/>
  <c r="O7" i="77"/>
  <c r="J36" i="75"/>
  <c r="J41" i="75" s="1"/>
  <c r="J42" i="74"/>
  <c r="J50" i="74" s="1"/>
  <c r="K43" i="75"/>
  <c r="C53" i="73"/>
  <c r="I12" i="14"/>
  <c r="I10" i="14" s="1"/>
  <c r="F12" i="14"/>
  <c r="F10" i="14" s="1"/>
  <c r="E12" i="14"/>
  <c r="E10" i="14" l="1"/>
  <c r="J10" i="14" s="1"/>
  <c r="J12" i="14"/>
  <c r="F53" i="73"/>
  <c r="I53" i="73" s="1"/>
  <c r="C411" i="67" l="1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F397" i="67"/>
  <c r="E401" i="67"/>
  <c r="E397" i="67"/>
  <c r="F12" i="68"/>
  <c r="G12" i="68"/>
  <c r="G10" i="68" s="1"/>
  <c r="H12" i="68"/>
  <c r="H10" i="68" s="1"/>
  <c r="I12" i="68"/>
  <c r="I10" i="68" s="1"/>
  <c r="F605" i="67"/>
  <c r="F613" i="67" s="1"/>
  <c r="H613" i="67" s="1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B53" i="70"/>
  <c r="C13" i="69"/>
  <c r="B13" i="69"/>
  <c r="D129" i="67"/>
  <c r="C129" i="67"/>
  <c r="J16" i="68"/>
  <c r="J15" i="68"/>
  <c r="J13" i="68"/>
  <c r="F116" i="67"/>
  <c r="G116" i="67"/>
  <c r="H116" i="67"/>
  <c r="I116" i="67"/>
  <c r="F640" i="67"/>
  <c r="F646" i="67" s="1"/>
  <c r="D646" i="67"/>
  <c r="C646" i="67"/>
  <c r="F622" i="67"/>
  <c r="F619" i="67"/>
  <c r="F595" i="67"/>
  <c r="H595" i="67" s="1"/>
  <c r="C430" i="67"/>
  <c r="D401" i="67"/>
  <c r="C401" i="67"/>
  <c r="B401" i="67"/>
  <c r="D397" i="67"/>
  <c r="C397" i="67"/>
  <c r="B397" i="67"/>
  <c r="E116" i="67"/>
  <c r="D116" i="67"/>
  <c r="B116" i="67"/>
  <c r="D377" i="67"/>
  <c r="C377" i="67"/>
  <c r="C244" i="67"/>
  <c r="D244" i="67"/>
  <c r="C228" i="67"/>
  <c r="D228" i="67"/>
  <c r="C232" i="67"/>
  <c r="D232" i="67"/>
  <c r="D370" i="67"/>
  <c r="C327" i="67"/>
  <c r="C349" i="67" s="1"/>
  <c r="D327" i="67"/>
  <c r="D338" i="67"/>
  <c r="D297" i="67"/>
  <c r="D318" i="67" s="1"/>
  <c r="C297" i="67"/>
  <c r="C318" i="67" s="1"/>
  <c r="I176" i="67"/>
  <c r="I175" i="67"/>
  <c r="I180" i="67" s="1"/>
  <c r="G168" i="67"/>
  <c r="F168" i="67"/>
  <c r="E168" i="67"/>
  <c r="G161" i="67"/>
  <c r="F161" i="67"/>
  <c r="E161" i="67"/>
  <c r="E21" i="62"/>
  <c r="E21" i="63"/>
  <c r="C370" i="67"/>
  <c r="J12" i="68" l="1"/>
  <c r="J10" i="68" s="1"/>
  <c r="F10" i="68"/>
  <c r="I410" i="67"/>
  <c r="I397" i="67"/>
  <c r="F406" i="67"/>
  <c r="F412" i="67" s="1"/>
  <c r="G406" i="67"/>
  <c r="G412" i="67" s="1"/>
  <c r="D406" i="67"/>
  <c r="D412" i="67" s="1"/>
  <c r="C406" i="67"/>
  <c r="C412" i="67" s="1"/>
  <c r="H406" i="67"/>
  <c r="H412" i="67" s="1"/>
  <c r="I401" i="67"/>
  <c r="D236" i="67"/>
  <c r="D349" i="67"/>
  <c r="C236" i="67"/>
  <c r="B406" i="67"/>
  <c r="B412" i="67" s="1"/>
  <c r="F629" i="67"/>
  <c r="H629" i="67" s="1"/>
  <c r="E406" i="67"/>
  <c r="E412" i="67" s="1"/>
  <c r="I411" i="67"/>
  <c r="G13" i="16"/>
  <c r="H13" i="16"/>
  <c r="H11" i="16" s="1"/>
  <c r="I13" i="16"/>
  <c r="I11" i="16" s="1"/>
  <c r="G11" i="16" l="1"/>
  <c r="J11" i="16" s="1"/>
  <c r="J13" i="16"/>
  <c r="I406" i="67"/>
  <c r="I412" i="67" s="1"/>
  <c r="F18" i="76"/>
</calcChain>
</file>

<file path=xl/comments1.xml><?xml version="1.0" encoding="utf-8"?>
<comments xmlns="http://schemas.openxmlformats.org/spreadsheetml/2006/main">
  <authors>
    <author>Gajowa Justyna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Gajowa Justyna:</t>
        </r>
        <r>
          <rPr>
            <sz val="9"/>
            <color indexed="81"/>
            <rFont val="Tahoma"/>
            <family val="2"/>
            <charset val="238"/>
          </rPr>
          <t xml:space="preserve">
dec. 154/2023/WIF na kart. 400172 (nie ujmujemy w przychodach/kosztach, bo to dla ZTM wydatki na inwestycje - k. 080 i ni wykazują w kosztach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Gajowa Justyna:</t>
        </r>
        <r>
          <rPr>
            <sz val="9"/>
            <color indexed="81"/>
            <rFont val="Tahoma"/>
            <family val="2"/>
            <charset val="238"/>
          </rPr>
          <t xml:space="preserve">
Kwotę ogółem bierzemy z zest. nal. gługoterm. Wg stanu na 31.12. danego roku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Gajowa Justyna:</t>
        </r>
        <r>
          <rPr>
            <sz val="9"/>
            <color indexed="81"/>
            <rFont val="Tahoma"/>
            <family val="2"/>
            <charset val="238"/>
          </rPr>
          <t xml:space="preserve">
Jest to rata za przyszły rok, bierzemy z zest. należn. za rok np. 2025 - stan na 31.12.2024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Gajowa Justyna:</t>
        </r>
        <r>
          <rPr>
            <sz val="9"/>
            <color indexed="81"/>
            <rFont val="Tahoma"/>
            <family val="2"/>
            <charset val="238"/>
          </rPr>
          <t xml:space="preserve">
Nalezn. Krótk.- w Zał. Z1 w Kikum: należności od budżetu</t>
        </r>
      </text>
    </comment>
  </commentList>
</comments>
</file>

<file path=xl/sharedStrings.xml><?xml version="1.0" encoding="utf-8"?>
<sst xmlns="http://schemas.openxmlformats.org/spreadsheetml/2006/main" count="2115" uniqueCount="1106">
  <si>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</si>
  <si>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</si>
  <si>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</si>
  <si>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</si>
  <si>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</si>
  <si>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</si>
  <si>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</si>
  <si>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</si>
  <si>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</si>
  <si>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</si>
  <si>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</si>
  <si>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</si>
  <si>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</si>
  <si>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</si>
  <si>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</si>
  <si>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</si>
  <si>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</si>
  <si>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</si>
  <si>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</si>
  <si>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</si>
  <si>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</si>
  <si>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</si>
  <si>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</si>
  <si>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</si>
  <si>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074</t>
  </si>
  <si>
    <t>odpisy aktualizujące nieruchomości inwestycyjne</t>
  </si>
  <si>
    <t>z tyt. zwrotu nieruchomości</t>
  </si>
  <si>
    <t>Nazwa środka trwalego</t>
  </si>
  <si>
    <t>Wartość netto środka trwałego w jednostce sprzedającej</t>
  </si>
  <si>
    <t>Wartość % podatku dochodowego płaconego przez sprzedającego</t>
  </si>
  <si>
    <t>Grunty</t>
  </si>
  <si>
    <t>umorzenie prawa użytkowania wieczystego gruntu</t>
  </si>
  <si>
    <t>x - załącznik sporządzają: DBFO i MBFO, Urzędy dzielnic z podległych jednostek</t>
  </si>
  <si>
    <t>Instytucje Kultury</t>
  </si>
  <si>
    <t xml:space="preserve">       - 290</t>
  </si>
  <si>
    <t>OGÓŁEM:</t>
  </si>
  <si>
    <t>Treść</t>
  </si>
  <si>
    <t>224 - x</t>
  </si>
  <si>
    <t>235 - x</t>
  </si>
  <si>
    <t>245 - x</t>
  </si>
  <si>
    <t>247 - x</t>
  </si>
  <si>
    <t>248 - x</t>
  </si>
  <si>
    <t>249 - x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</si>
  <si>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</si>
  <si>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</si>
  <si>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</si>
  <si>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</si>
  <si>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</si>
  <si>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</si>
  <si>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</si>
  <si>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</si>
  <si>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</si>
  <si>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</si>
  <si>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</si>
  <si>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</si>
  <si>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</si>
  <si>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</si>
  <si>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</si>
  <si>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</si>
  <si>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</si>
  <si>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</si>
  <si>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</si>
  <si>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</si>
  <si>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</si>
  <si>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</si>
  <si>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243 - x</t>
  </si>
  <si>
    <t>246 - x</t>
  </si>
  <si>
    <t>853 - x</t>
  </si>
  <si>
    <t>855 - x</t>
  </si>
  <si>
    <t>……….</t>
  </si>
  <si>
    <t>131 - x</t>
  </si>
  <si>
    <t>132 - x</t>
  </si>
  <si>
    <t>135 - x</t>
  </si>
  <si>
    <t>136 - x</t>
  </si>
  <si>
    <t>137 - x</t>
  </si>
  <si>
    <t>138 - x</t>
  </si>
  <si>
    <t>851 - x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</si>
  <si>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</si>
  <si>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</si>
  <si>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</si>
  <si>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</si>
  <si>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</si>
  <si>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</si>
  <si>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</si>
  <si>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</si>
  <si>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</si>
  <si>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</si>
  <si>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</si>
  <si>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</si>
  <si>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</si>
  <si>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</si>
  <si>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</si>
  <si>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</si>
  <si>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</si>
  <si>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</si>
  <si>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</si>
  <si>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Kwota zobowiązań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</si>
  <si>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</si>
  <si>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</si>
  <si>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</si>
  <si>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</si>
  <si>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</si>
  <si>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</si>
  <si>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</si>
  <si>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</si>
  <si>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</si>
  <si>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</si>
  <si>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</si>
  <si>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</si>
  <si>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</si>
  <si>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</si>
  <si>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</si>
  <si>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</si>
  <si>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</si>
  <si>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073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</si>
  <si>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</si>
  <si>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</si>
  <si>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</si>
  <si>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</si>
  <si>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</si>
  <si>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</si>
  <si>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</si>
  <si>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</si>
  <si>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</si>
  <si>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</si>
  <si>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</si>
  <si>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</si>
  <si>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</si>
  <si>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</si>
  <si>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Poz. Bilansu</t>
  </si>
  <si>
    <t>Poz.
ZZwFJ</t>
  </si>
  <si>
    <t>Poz.
RZiS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</si>
  <si>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</si>
  <si>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</si>
  <si>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</si>
  <si>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</si>
  <si>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</si>
  <si>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</si>
  <si>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</si>
  <si>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</si>
  <si>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</si>
  <si>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Na podstawie ewidencji konta '' 976''</t>
  </si>
  <si>
    <t>RAZEM</t>
  </si>
  <si>
    <t>Odpis aktualizujący za lata ubiegłe</t>
  </si>
  <si>
    <t>Inne zwiększenia (kwota odsetek od kredytów inwestycyjnych otrzymanych)</t>
  </si>
  <si>
    <t>Inne zmniejszenia (kwota odsetek od kredytów inwestycyjnych przekazanych)</t>
  </si>
  <si>
    <t>Obroty roku bieżącego</t>
  </si>
  <si>
    <t xml:space="preserve">Grupy rodzajowe </t>
  </si>
  <si>
    <t>AKTYWA TRWAŁE</t>
  </si>
  <si>
    <t>013</t>
  </si>
  <si>
    <t>014</t>
  </si>
  <si>
    <t>Dobra kultury</t>
  </si>
  <si>
    <t>016</t>
  </si>
  <si>
    <t>Zbiory biblioteczne</t>
  </si>
  <si>
    <t xml:space="preserve"> umorzenie </t>
  </si>
  <si>
    <t xml:space="preserve">Inne papiery wartościowe 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</si>
  <si>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</si>
  <si>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</si>
  <si>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</si>
  <si>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</si>
  <si>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</si>
  <si>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</si>
  <si>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Środki pieniężne państwowego funduszu
celowego</t>
  </si>
  <si>
    <t xml:space="preserve">Rozliczenia międzyokresowe </t>
  </si>
  <si>
    <t>C. ZOBOWIĄZANIA I REZERWY NA ZOBOWIĄZANIA</t>
  </si>
  <si>
    <t>B. II. 1</t>
  </si>
  <si>
    <t>B. II. 2</t>
  </si>
  <si>
    <t>B. II. 3</t>
  </si>
  <si>
    <t>B. II. 4</t>
  </si>
  <si>
    <t>B. II. 5</t>
  </si>
  <si>
    <t>B. III. 1</t>
  </si>
  <si>
    <t xml:space="preserve"> B. III. 2</t>
  </si>
  <si>
    <t>B. III. 3</t>
  </si>
  <si>
    <t>B. III. 4</t>
  </si>
  <si>
    <t>B. III. 5</t>
  </si>
  <si>
    <t>B. III. 6</t>
  </si>
  <si>
    <t>B. III. 7</t>
  </si>
  <si>
    <t>Zobowiązania z tytułu ubezpieczeń i innych świadczeń</t>
  </si>
  <si>
    <t>Zakładowy Fundusz Świadczeń Socjalnych</t>
  </si>
  <si>
    <t>Inne fundusze</t>
  </si>
  <si>
    <t>Rozliczenia międzyokresowe przychodów</t>
  </si>
  <si>
    <t>Inne rozliczenia międzyokresowe</t>
  </si>
  <si>
    <t>Adres jednostki
oraz Dzielnica</t>
  </si>
  <si>
    <t>Forma organizacyjna</t>
  </si>
  <si>
    <t>Pozycja w bilansie</t>
  </si>
  <si>
    <t>Kwota należności</t>
  </si>
  <si>
    <t>Data wpływu środków*</t>
  </si>
  <si>
    <t>Odpisy aktual. za rok bilansowy</t>
  </si>
  <si>
    <t>Odpisy aktual. za lata ub.</t>
  </si>
  <si>
    <t>Załącznik nr  13A</t>
  </si>
  <si>
    <t>* dotyczy wpływu środków na przełomie roku - np.. 2, 3 stycznia a dotyczy rozliczenia za ubiegły rok</t>
  </si>
  <si>
    <t>…………..</t>
  </si>
  <si>
    <t>………….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</si>
  <si>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</si>
  <si>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</si>
  <si>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</si>
  <si>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</si>
  <si>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</si>
  <si>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</si>
  <si>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</si>
  <si>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</si>
  <si>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</si>
  <si>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</si>
  <si>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</si>
  <si>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Lp.</t>
  </si>
  <si>
    <t>Nazwa jednostki</t>
  </si>
  <si>
    <t>5.</t>
  </si>
  <si>
    <t>Rzeczowy majątek trwały</t>
  </si>
  <si>
    <t xml:space="preserve">Budynki, lokale i obiekty inżynierii lądowej i wodnej 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</si>
  <si>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</si>
  <si>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</si>
  <si>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</si>
  <si>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</si>
  <si>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</si>
  <si>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 xml:space="preserve">Dochody wykonane </t>
  </si>
  <si>
    <t xml:space="preserve">Dochody przekazane </t>
  </si>
  <si>
    <t>Nr konta</t>
  </si>
  <si>
    <t>Kontrahent/ tytuł rozrachunku</t>
  </si>
  <si>
    <t>Data powstania 
salda</t>
  </si>
  <si>
    <t>KWOTA</t>
  </si>
  <si>
    <t>Planowana data zapłaty 
i uwagi</t>
  </si>
  <si>
    <t>I.</t>
  </si>
  <si>
    <t>w tym:</t>
  </si>
  <si>
    <t>6.</t>
  </si>
  <si>
    <t>7.</t>
  </si>
  <si>
    <t>II.</t>
  </si>
  <si>
    <t>*/ niepotrzebne skreślić</t>
  </si>
  <si>
    <t>Wn</t>
  </si>
  <si>
    <t>Ma</t>
  </si>
  <si>
    <t>umorzenie</t>
  </si>
  <si>
    <t>AKTYWA</t>
  </si>
  <si>
    <t>Środki pieniężne na rachunkach bankowych</t>
  </si>
  <si>
    <t>Razem:</t>
  </si>
  <si>
    <t>Inne środki pienieżne</t>
  </si>
  <si>
    <t>Konto</t>
  </si>
  <si>
    <t>140 - x</t>
  </si>
  <si>
    <t>Środki pieniężne w kasie</t>
  </si>
  <si>
    <t>Zobowiązania wobec budżetów</t>
  </si>
  <si>
    <t>PASYWA</t>
  </si>
  <si>
    <t>Zobowiązania z tytułu wynagrodzeń</t>
  </si>
  <si>
    <t>234 - x</t>
  </si>
  <si>
    <t>Pozostałe zobowiązania</t>
  </si>
  <si>
    <t>242 - x</t>
  </si>
  <si>
    <t>Sumy obce</t>
  </si>
  <si>
    <t>232 - x</t>
  </si>
  <si>
    <t>Należności z tytułu dostaw i usług</t>
  </si>
  <si>
    <t xml:space="preserve"> B. IV </t>
  </si>
  <si>
    <t>Należności od budżetów</t>
  </si>
  <si>
    <t>dochody budżetowe</t>
  </si>
  <si>
    <t>Rozliczenie z tytułu środków na wydatki 
budżetowe i z tytułu dochodów budżetowych</t>
  </si>
  <si>
    <t>030</t>
  </si>
  <si>
    <t>229 - x</t>
  </si>
  <si>
    <t>Pozostałe należności</t>
  </si>
  <si>
    <t>241 - x</t>
  </si>
  <si>
    <t>101 - x</t>
  </si>
  <si>
    <t>Zobowiązania z tytułu dostaw i usług</t>
  </si>
  <si>
    <t>640 - x</t>
  </si>
  <si>
    <t>222 - x</t>
  </si>
  <si>
    <t>223 - x</t>
  </si>
  <si>
    <t>227 - x</t>
  </si>
  <si>
    <t>228 - x</t>
  </si>
  <si>
    <t>poz.</t>
  </si>
  <si>
    <t>Rezerwy na zobowiązania</t>
  </si>
  <si>
    <t>Rozliczenia z tytułu środków na wydatki
budżetowe i z tytułu dochodów budżetowych</t>
  </si>
  <si>
    <t>Specyfikacja do poszczególnych
 kont rozrachunkowych</t>
  </si>
  <si>
    <t>Załącznik nr 11</t>
  </si>
  <si>
    <t>(depozyty, zabezpieczenie</t>
  </si>
  <si>
    <t xml:space="preserve"> wykonania umów)</t>
  </si>
  <si>
    <t>Wartość nieodpłatnie przekazanych środków trwałych i środków trwałych w budowie oraz wartości niematerialnych i prawnych</t>
  </si>
  <si>
    <t>Załącznik nr 16</t>
  </si>
  <si>
    <t>020</t>
  </si>
  <si>
    <t>Wartości niematerialne i prawne</t>
  </si>
  <si>
    <t>071</t>
  </si>
  <si>
    <t>umorzenie wartości niemater. i prawnych</t>
  </si>
  <si>
    <t>072</t>
  </si>
  <si>
    <t>umorzenie pozost. wartości niemater. i prawnych</t>
  </si>
  <si>
    <t>011</t>
  </si>
  <si>
    <t>Urządzenia techniczne i maszyny</t>
  </si>
  <si>
    <t xml:space="preserve">071 </t>
  </si>
  <si>
    <t xml:space="preserve">011 </t>
  </si>
  <si>
    <t>Środki transportu</t>
  </si>
  <si>
    <t>Inne środki trwałe</t>
  </si>
  <si>
    <t>Pozostałe środki trwałe</t>
  </si>
  <si>
    <t xml:space="preserve">072 </t>
  </si>
  <si>
    <t>080</t>
  </si>
  <si>
    <t>Środki trwałe w budowie (inwestycje)</t>
  </si>
  <si>
    <t>B. AKTYWA OBROTOWE</t>
  </si>
  <si>
    <t>OBROTOWE</t>
  </si>
  <si>
    <t>Nazwa i adres jednostki</t>
  </si>
  <si>
    <t>(pieczątka)</t>
  </si>
  <si>
    <t>data</t>
  </si>
  <si>
    <t>Pieczątka i podpis gł. księgowego</t>
  </si>
  <si>
    <t>Uwagi</t>
  </si>
  <si>
    <t>Nr ewidencyjny działki</t>
  </si>
  <si>
    <t>Nr i data decyzji</t>
  </si>
  <si>
    <t>………………………………</t>
  </si>
  <si>
    <t>Inne krótkoterminowe aktywa finansowe</t>
  </si>
  <si>
    <t>* lokaty nocne</t>
  </si>
  <si>
    <t>………………………...….</t>
  </si>
  <si>
    <t>……………………………………….</t>
  </si>
  <si>
    <t>……………………….</t>
  </si>
  <si>
    <t>…………………………….</t>
  </si>
  <si>
    <t>……………………........</t>
  </si>
  <si>
    <t xml:space="preserve">Nazwa i adres jednostki                                                                                                                                                                   </t>
  </si>
  <si>
    <t>……………………</t>
  </si>
  <si>
    <t>Położenie (lokalizacja)</t>
  </si>
  <si>
    <t>…..</t>
  </si>
  <si>
    <t>OGÓŁEM PRZYCHODY</t>
  </si>
  <si>
    <t>OGÓŁEM KOSZTY</t>
  </si>
  <si>
    <t>IX.</t>
  </si>
  <si>
    <t>Inne świadczenia finansowane z budżetu</t>
  </si>
  <si>
    <t>Odsetki</t>
  </si>
  <si>
    <t>…………….</t>
  </si>
  <si>
    <t>Zwiększenia funduszu (z tytułu)</t>
  </si>
  <si>
    <t>1.6</t>
  </si>
  <si>
    <t>Nieodpłatnie otrzymane środki trwałe i środki trwałe w budowie oraz wartości niematerialne i prawne</t>
  </si>
  <si>
    <t>1.10</t>
  </si>
  <si>
    <t>Zmniejszenia funduszu jednostki (z tytułu)</t>
  </si>
  <si>
    <t>2.6</t>
  </si>
  <si>
    <t>2.9</t>
  </si>
  <si>
    <t>Pieczątka i podpis gł.księgowego</t>
  </si>
  <si>
    <t>…………………………………..…</t>
  </si>
  <si>
    <t>……………………...………………</t>
  </si>
  <si>
    <t>………………..</t>
  </si>
  <si>
    <t>………………….………</t>
  </si>
  <si>
    <t>Adres jednostki</t>
  </si>
  <si>
    <t>Forma organizacyjna *</t>
  </si>
  <si>
    <t xml:space="preserve">Pieczątka i podpis gł. księgowego                                                                                </t>
  </si>
  <si>
    <t xml:space="preserve">………………………………………..……                                                                    </t>
  </si>
  <si>
    <t>Załącznik nr 18</t>
  </si>
  <si>
    <t>Załącznik nr 17</t>
  </si>
  <si>
    <t>Załącznik nr 15</t>
  </si>
  <si>
    <t>Załącznik nr 14</t>
  </si>
  <si>
    <t>Załącznik nr 9</t>
  </si>
  <si>
    <t>Ogółem (2-3)</t>
  </si>
  <si>
    <t>Różnica pomiędzy dochodami wykonanymi a przekazanymi</t>
  </si>
  <si>
    <t>Razem</t>
  </si>
  <si>
    <t>Poz. bilansu AKTYWA</t>
  </si>
  <si>
    <t>OGÓŁEM NALEŻNOŚCI:</t>
  </si>
  <si>
    <t>Należności długoterminowe</t>
  </si>
  <si>
    <t>Należności krótkoterminowe</t>
  </si>
  <si>
    <t>1.1</t>
  </si>
  <si>
    <t>Odpis aktualizujący za rok bieżący</t>
  </si>
  <si>
    <t>1.2</t>
  </si>
  <si>
    <t>2.1</t>
  </si>
  <si>
    <t>2.2</t>
  </si>
  <si>
    <t>4.1</t>
  </si>
  <si>
    <t>4.2</t>
  </si>
  <si>
    <t>Poz. bilansu PASYWA</t>
  </si>
  <si>
    <t>OGÓŁEM ZOBOWIĄZANIA</t>
  </si>
  <si>
    <t>Zobowiazania długoterminowe</t>
  </si>
  <si>
    <t>Zobowiazania krótkoterminowe</t>
  </si>
  <si>
    <t>Zobowiazania z tytułu dostaw i usług</t>
  </si>
  <si>
    <t>Zobowiazania wobec budżetów</t>
  </si>
  <si>
    <t>Zobowiazania z tytułu ubezpieczeń i innych świadczeń</t>
  </si>
  <si>
    <t>* jednostka budżetowa, samorządowy zakład budżetowy</t>
  </si>
  <si>
    <t>Załącznik nr 19</t>
  </si>
  <si>
    <t>A.</t>
  </si>
  <si>
    <t>Przychody netto z podstawowej działalności operacyjnej</t>
  </si>
  <si>
    <t>Przychody netto ze sprzedaży produktów</t>
  </si>
  <si>
    <t>IV.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</si>
  <si>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</si>
  <si>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</si>
  <si>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</si>
  <si>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</si>
  <si>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</si>
  <si>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</si>
  <si>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 xml:space="preserve">odpisy aktualizujące </t>
  </si>
  <si>
    <t>odpisy aktualizujące</t>
  </si>
  <si>
    <t>015</t>
  </si>
  <si>
    <t>Wartośc mienia zlikwidowanych jednostek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</si>
  <si>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</si>
  <si>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</si>
  <si>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</si>
  <si>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</si>
  <si>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</si>
  <si>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</si>
  <si>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</si>
  <si>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</si>
  <si>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</si>
  <si>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</si>
  <si>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</si>
  <si>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</si>
  <si>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</si>
  <si>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</si>
  <si>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</si>
  <si>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</si>
  <si>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H.</t>
  </si>
  <si>
    <t>Koszty finansowe</t>
  </si>
  <si>
    <t>Stan na początek roku</t>
  </si>
  <si>
    <t>Stan na koniec roku</t>
  </si>
  <si>
    <t>Tytuł</t>
  </si>
  <si>
    <t>Należne gminie dłużnika</t>
  </si>
  <si>
    <t>Należne m.st. Warszawy</t>
  </si>
  <si>
    <t>Należne MUW</t>
  </si>
  <si>
    <t>Klasyfikacja budżetowa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</si>
  <si>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</si>
  <si>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</si>
  <si>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</si>
  <si>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</si>
  <si>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</si>
  <si>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</si>
  <si>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</si>
  <si>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</si>
  <si>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</si>
  <si>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</si>
  <si>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</si>
  <si>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</si>
  <si>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</si>
  <si>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</si>
  <si>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</si>
  <si>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</si>
  <si>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</si>
  <si>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</si>
  <si>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</si>
  <si>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</si>
  <si>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</si>
  <si>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</si>
  <si>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</si>
  <si>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</si>
  <si>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</si>
  <si>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</si>
  <si>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</si>
  <si>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</si>
  <si>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</si>
  <si>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</si>
  <si>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</si>
  <si>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</si>
  <si>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</si>
  <si>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</si>
  <si>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</si>
  <si>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</si>
  <si>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</si>
  <si>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</si>
  <si>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</si>
  <si>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</si>
  <si>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</si>
  <si>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</si>
  <si>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</si>
  <si>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</si>
  <si>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</si>
  <si>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</si>
  <si>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</si>
  <si>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</si>
  <si>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</si>
  <si>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</si>
  <si>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</si>
  <si>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</si>
  <si>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</si>
  <si>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</si>
  <si>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</si>
  <si>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</si>
  <si>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</si>
  <si>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</si>
  <si>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</si>
  <si>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</si>
  <si>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</si>
  <si>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</si>
  <si>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</si>
  <si>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</si>
  <si>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</si>
  <si>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</si>
  <si>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</si>
  <si>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</si>
  <si>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</si>
  <si>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</si>
  <si>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</si>
  <si>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</si>
  <si>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</si>
  <si>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</si>
  <si>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</si>
  <si>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</si>
  <si>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</si>
  <si>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</si>
  <si>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</si>
  <si>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</si>
  <si>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1.8</t>
  </si>
  <si>
    <t>Aktywa otrzymane w ramach centralnego zaopatrzenia</t>
  </si>
  <si>
    <t>2.8</t>
  </si>
  <si>
    <t>Aktywa przekazane w ramach centralnego zaopatrzenia</t>
  </si>
  <si>
    <t>Nazwa i adres jednostki kupującej</t>
  </si>
  <si>
    <t>Data zakupu środka trwałego</t>
  </si>
  <si>
    <t>Cena nabycia - wartość początkowa środka trwałęgo</t>
  </si>
  <si>
    <t>Stawka amortyzacji  kupujący</t>
  </si>
  <si>
    <t>Kwota* amortyzacji u kupującego</t>
  </si>
  <si>
    <t>* Wartość amortyzacji od dnia nabycia w danym roku bilansowym</t>
  </si>
  <si>
    <t>Nazwa i adres jednostki sprzedającej</t>
  </si>
  <si>
    <t>Data 
sprzedaży środka trwałego</t>
  </si>
  <si>
    <t>Przychód ze sprzedaży</t>
  </si>
  <si>
    <t>Stawka amortyzacji sprzedający</t>
  </si>
  <si>
    <t>Kwota* amortyzacji u sprzedającego</t>
  </si>
  <si>
    <t>* Wartość amortyzacji do dnia sprzedaży w danym roku bilansowym</t>
  </si>
  <si>
    <t>* tabelę wypełniają: Urzędy Dzielnic, Urząd m.st. Warszawy</t>
  </si>
  <si>
    <t>WARTOŚCI NIEMATERIALNE I PRAWNE</t>
  </si>
  <si>
    <t>Umorzenie</t>
  </si>
  <si>
    <t>Nazwa podmiotu, któremu przekazano grunt w użytkowanie / użytkowanie wieczyste</t>
  </si>
  <si>
    <t>( środki trwałe wytworzone siłami własnymi )</t>
  </si>
  <si>
    <t>Wartości niematerialne i prawne ogółem</t>
  </si>
  <si>
    <t>Budynki, lokale i obiekty inżynierii lądowej i wodnej</t>
  </si>
  <si>
    <t>Załącznik nr 10</t>
  </si>
  <si>
    <t>Załącznik nr 12</t>
  </si>
  <si>
    <t>Załącznik nr  14A</t>
  </si>
  <si>
    <t>Załącznik nr 16A</t>
  </si>
  <si>
    <t>Załącznik wypełniają Urząd m.st. Warszawy, Urzędy Dzielnic, jednostki budżetowe, zakłady budżetowe.</t>
  </si>
  <si>
    <t>Załącznik dotyczy wzajemnych rozliczeń pomiędzy Urzędem m.st. Warszawy, Urzędami Dzielnic, jednostkami budżetowymi m.st. Warszawy, zakładami budżetowymi m.st. Warszawy a:</t>
  </si>
  <si>
    <t>a) spółkami</t>
  </si>
  <si>
    <t>b) instytucjami kultury</t>
  </si>
  <si>
    <t>c) spzoz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</si>
  <si>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</si>
  <si>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</si>
  <si>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</si>
  <si>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</si>
  <si>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</si>
  <si>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</si>
  <si>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</si>
  <si>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</si>
  <si>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</si>
  <si>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</si>
  <si>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</si>
  <si>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</si>
  <si>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</si>
  <si>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</si>
  <si>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</si>
  <si>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</si>
  <si>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</si>
  <si>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</si>
  <si>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</si>
  <si>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</si>
  <si>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</si>
  <si>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</si>
  <si>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</si>
  <si>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</si>
  <si>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</si>
  <si>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</si>
  <si>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</si>
  <si>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</si>
  <si>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</si>
  <si>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</si>
  <si>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</si>
  <si>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</si>
  <si>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</si>
  <si>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</si>
  <si>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</si>
  <si>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</si>
  <si>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</si>
  <si>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</si>
  <si>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</si>
  <si>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</si>
  <si>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</si>
  <si>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</si>
  <si>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</si>
  <si>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</si>
  <si>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</si>
  <si>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</si>
  <si>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</si>
  <si>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</si>
  <si>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</si>
  <si>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</si>
  <si>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</si>
  <si>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</si>
  <si>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</si>
  <si>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</si>
  <si>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</si>
  <si>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</si>
  <si>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</si>
  <si>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</si>
  <si>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</si>
  <si>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</si>
  <si>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</si>
  <si>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</si>
  <si>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</si>
  <si>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</si>
  <si>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</si>
  <si>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</si>
  <si>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</si>
  <si>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</si>
  <si>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</si>
  <si>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</si>
  <si>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</si>
  <si>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</si>
  <si>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</si>
  <si>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</si>
  <si>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</si>
  <si>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</si>
  <si>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</si>
  <si>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</si>
  <si>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</si>
  <si>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</si>
  <si>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</si>
  <si>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</si>
  <si>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</si>
  <si>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</si>
  <si>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</si>
  <si>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</si>
  <si>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</si>
  <si>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</si>
  <si>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</si>
  <si>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</si>
  <si>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</si>
  <si>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</si>
  <si>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</si>
  <si>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</si>
  <si>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</si>
  <si>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</si>
  <si>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</si>
  <si>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</si>
  <si>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</si>
  <si>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</si>
  <si>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</si>
  <si>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</si>
  <si>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</si>
  <si>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</si>
  <si>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</si>
  <si>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</si>
  <si>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</si>
  <si>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</si>
  <si>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</si>
  <si>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</si>
  <si>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</si>
  <si>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</si>
  <si>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</si>
  <si>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</si>
  <si>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</si>
  <si>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</si>
  <si>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</si>
  <si>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</si>
  <si>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</si>
  <si>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</si>
  <si>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D. II. 1</t>
  </si>
  <si>
    <t>D. II. 2</t>
  </si>
  <si>
    <t>D. II. 3</t>
  </si>
  <si>
    <t>D. II. 4</t>
  </si>
  <si>
    <t>D. II. 5</t>
  </si>
  <si>
    <t>D. II. 6</t>
  </si>
  <si>
    <t>D. II. 7</t>
  </si>
  <si>
    <t>D. III.</t>
  </si>
  <si>
    <t>D.II.8.1.</t>
  </si>
  <si>
    <t>D.II.8.2.</t>
  </si>
  <si>
    <t>D.IV.1.</t>
  </si>
  <si>
    <t>D.IV.2.</t>
  </si>
  <si>
    <t>Załącznik nr  13B</t>
  </si>
  <si>
    <t>A.III.</t>
  </si>
  <si>
    <t>B.II.</t>
  </si>
  <si>
    <t>D.IV.</t>
  </si>
  <si>
    <t>Załącznik nr 22</t>
  </si>
  <si>
    <t>WYSZCZEGÓLNIENIE</t>
  </si>
  <si>
    <t>DATA ZAWARCIA UMOWY</t>
  </si>
  <si>
    <t>STAWKA</t>
  </si>
  <si>
    <t>DATA OSTATECZNEJ SPŁATY</t>
  </si>
  <si>
    <t>1.KREDYTY</t>
  </si>
  <si>
    <t>1.1. O STAŁEJ STOPIE PROCENTOWEJ</t>
  </si>
  <si>
    <t>1.1.1. W PLN</t>
  </si>
  <si>
    <t xml:space="preserve">1.1.2. W EUR </t>
  </si>
  <si>
    <t>1.1.3. W USD</t>
  </si>
  <si>
    <t>1.2. O ZMIENNEJ STOPIE PROCENTOWEJ</t>
  </si>
  <si>
    <t>1.2.1. W PLN</t>
  </si>
  <si>
    <t>1.2.2. W EUR</t>
  </si>
  <si>
    <t>1.2.3. W USD</t>
  </si>
  <si>
    <t>2. OBLIGACJE</t>
  </si>
  <si>
    <t>2.1. O STAŁEJ STOPIE PROCENTOWEJ</t>
  </si>
  <si>
    <t>2.1.1. W PLN</t>
  </si>
  <si>
    <t>2.1.2. W EUR</t>
  </si>
  <si>
    <t>2.1.3. W USD</t>
  </si>
  <si>
    <t>2.2. O ZMIENNEJ STOPIE PROCENTOWEJ</t>
  </si>
  <si>
    <t>2.2.1. W PLN</t>
  </si>
  <si>
    <t>2.2.2. W EUR</t>
  </si>
  <si>
    <t>2.2.3. W USD</t>
  </si>
  <si>
    <t>Ogółem:</t>
  </si>
  <si>
    <t>WARTOŚĆ W PLN</t>
  </si>
  <si>
    <t>Załącznik nr 23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</si>
  <si>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</si>
  <si>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</si>
  <si>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B.II.4.</t>
  </si>
  <si>
    <t>Czy należność została potwierdzona
TAK/NIE</t>
  </si>
  <si>
    <t>Czy zobowiązanie zostało potwierdzone
TAK/NIE</t>
  </si>
  <si>
    <t>II.1.9. Zobowiązania długoterminowe według zapadalności</t>
  </si>
  <si>
    <t>Czy dokonano potwierdzenia co do lokalizacji, numeru i powierzchni działki
TAK/NIE</t>
  </si>
  <si>
    <t>Załącznik wypełniają Urząd m.st. Warszawy, Urzędy Dzielnic, jednostki budżetowe.</t>
  </si>
  <si>
    <t>Załącznik dotyczy wzajemnych rozliczeń pomiędzy Urzędem m.st. Warszawy, Urzędami Dzielnic, jednostkami budżetowymi m.st. Warszawy a: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</si>
  <si>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</si>
  <si>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</si>
  <si>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</si>
  <si>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</si>
  <si>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</si>
  <si>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</si>
  <si>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</si>
  <si>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</si>
  <si>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</si>
  <si>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</si>
  <si>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>Inne rezerwy: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</si>
  <si>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</si>
  <si>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</si>
  <si>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</si>
  <si>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</si>
  <si>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</si>
  <si>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</si>
  <si>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</si>
  <si>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</si>
  <si>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</si>
  <si>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</si>
  <si>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</si>
  <si>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</si>
  <si>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</si>
  <si>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</si>
  <si>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Powierzchnia m²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</si>
  <si>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</si>
  <si>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</si>
  <si>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</si>
  <si>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</si>
  <si>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</si>
  <si>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</si>
  <si>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</si>
  <si>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</si>
  <si>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</si>
  <si>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</si>
  <si>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</si>
  <si>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</si>
  <si>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</si>
  <si>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</si>
  <si>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</si>
  <si>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Zadłużenie łącznie krótko i długoterminowe z tytułu kredytów i obligacji na dzień 31.12. ……. r.</t>
  </si>
  <si>
    <t>Zobowiązania finansowe długoterminowe w bilansie z wykonania budżetu według zapadalności na dzień 31.12. ……</t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</si>
  <si>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</si>
  <si>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Saldo otwarcia </t>
  </si>
  <si>
    <t>Saldo zamknięcia</t>
  </si>
  <si>
    <t>Saldo otwarcia</t>
  </si>
  <si>
    <t xml:space="preserve">Saldo zamknięcia </t>
  </si>
  <si>
    <t>Wartość początkowa na początek okresu</t>
  </si>
  <si>
    <t>Wartość początkowa na koniec okresu</t>
  </si>
  <si>
    <t xml:space="preserve">Odpisy na początek okresu </t>
  </si>
  <si>
    <t>Odpisy na koniec okresu</t>
  </si>
  <si>
    <t>B.II.4</t>
  </si>
  <si>
    <t>Urząd Miasta</t>
  </si>
  <si>
    <t>D.II.5</t>
  </si>
  <si>
    <t>OSiR Bemowo</t>
  </si>
  <si>
    <t>Zarząd Dróg Miejskich</t>
  </si>
  <si>
    <t>Zarząd Mienia Skarbu Państwa</t>
  </si>
  <si>
    <t>Zarząd Mienia m.st. Warszawy</t>
  </si>
  <si>
    <t>ałą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</si>
  <si>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</si>
  <si>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</si>
  <si>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</si>
  <si>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</si>
  <si>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</si>
  <si>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</si>
  <si>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</si>
  <si>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</si>
  <si>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</si>
  <si>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Wola</t>
  </si>
  <si>
    <t>gospodarstwa pomocniczego</t>
  </si>
  <si>
    <t>ul. Kredytowa 3</t>
  </si>
  <si>
    <t>01-003 Warszawa</t>
  </si>
  <si>
    <t>jednostki budżetowej</t>
  </si>
  <si>
    <t>al.."Solidarności" 90</t>
  </si>
  <si>
    <t>sporządzony</t>
  </si>
  <si>
    <t>Wysyłać bez pisma przewodniego</t>
  </si>
  <si>
    <t>Numer identyfikacyjny REGON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</si>
  <si>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</si>
  <si>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</si>
  <si>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</si>
  <si>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</si>
  <si>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</si>
  <si>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</si>
  <si>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</si>
  <si>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</si>
  <si>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</si>
  <si>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</si>
  <si>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</si>
  <si>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</si>
  <si>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</si>
  <si>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</si>
  <si>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</si>
  <si>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</si>
  <si>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</si>
  <si>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</si>
  <si>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</si>
  <si>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</si>
  <si>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</si>
  <si>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</si>
  <si>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</si>
  <si>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</si>
  <si>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</si>
  <si>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</si>
  <si>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</si>
  <si>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</si>
  <si>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</si>
  <si>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</si>
  <si>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</si>
  <si>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</si>
  <si>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</si>
  <si>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</si>
  <si>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</si>
  <si>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</si>
  <si>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</si>
  <si>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</si>
  <si>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</si>
  <si>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</si>
  <si>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</si>
  <si>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</si>
  <si>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</si>
  <si>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</si>
  <si>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</si>
  <si>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</si>
  <si>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</si>
  <si>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</si>
  <si>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</si>
  <si>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</si>
  <si>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</si>
  <si>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</si>
  <si>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</si>
  <si>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</si>
  <si>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</si>
  <si>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</si>
  <si>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</si>
  <si>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</si>
  <si>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</si>
  <si>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</si>
  <si>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</si>
  <si>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</si>
  <si>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</si>
  <si>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</si>
  <si>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</si>
  <si>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</si>
  <si>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</si>
  <si>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</si>
  <si>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</si>
  <si>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</si>
  <si>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</si>
  <si>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</si>
  <si>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</si>
  <si>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Wola m.st. Warszawy</t>
  </si>
  <si>
    <t>Rachunek zysków i strat</t>
  </si>
  <si>
    <t>al.. Solidarności 90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</si>
  <si>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</si>
  <si>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</si>
  <si>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</si>
  <si>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</si>
  <si>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</si>
  <si>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</si>
  <si>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</si>
  <si>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</si>
  <si>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</si>
  <si>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</si>
  <si>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</si>
  <si>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</si>
  <si>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</si>
  <si>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</si>
  <si>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</si>
  <si>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</si>
  <si>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</si>
  <si>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brutto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</si>
  <si>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</si>
  <si>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</si>
  <si>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</si>
  <si>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</si>
  <si>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</si>
  <si>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</si>
  <si>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</si>
  <si>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</si>
  <si>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</si>
  <si>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</si>
  <si>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</si>
  <si>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</si>
  <si>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</si>
  <si>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</si>
  <si>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</si>
  <si>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</si>
  <si>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</si>
  <si>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</si>
  <si>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</si>
  <si>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</si>
  <si>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</si>
  <si>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</si>
  <si>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</si>
  <si>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</si>
  <si>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</si>
  <si>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</si>
  <si>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</si>
  <si>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</si>
  <si>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</si>
  <si>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</si>
  <si>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</si>
  <si>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</si>
  <si>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</si>
  <si>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</si>
  <si>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</si>
  <si>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</si>
  <si>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</si>
  <si>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</si>
  <si>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</si>
  <si>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</si>
  <si>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</si>
  <si>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Stan na                                                                                             początek roku</t>
  </si>
  <si>
    <t>brak</t>
  </si>
  <si>
    <t>ul. Wrocławska 8B</t>
  </si>
  <si>
    <t>16/6</t>
  </si>
  <si>
    <t>Tramwaje Warszawskie Sp. z o.o.</t>
  </si>
  <si>
    <t>obręb 6-08-04</t>
  </si>
  <si>
    <t>tak</t>
  </si>
  <si>
    <t>ul. Pełczyńskiego</t>
  </si>
  <si>
    <t>102/7</t>
  </si>
  <si>
    <t>Rep.A nr 3188/2017   z 21.12.2018</t>
  </si>
  <si>
    <t>TBS Warszawa Północ   Sp. z o.o.</t>
  </si>
  <si>
    <t>obręb 6-11-02</t>
  </si>
  <si>
    <t>ul. Górczewska / Konarskiego</t>
  </si>
  <si>
    <t>MPWiK S.A.</t>
  </si>
  <si>
    <t>obręb 6-11-11</t>
  </si>
  <si>
    <t>240 - 4</t>
  </si>
  <si>
    <t>280 - PIT</t>
  </si>
  <si>
    <t>280 - ZUS</t>
  </si>
  <si>
    <t>840 - 01</t>
  </si>
  <si>
    <r>
      <t>RAZEM  NALEŻNOŚCI/</t>
    </r>
    <r>
      <rPr>
        <b/>
        <strike/>
        <sz val="11"/>
        <rFont val="Calibri"/>
        <family val="2"/>
        <charset val="238"/>
      </rPr>
      <t>ZOBOWIĄZANIA*</t>
    </r>
    <r>
      <rPr>
        <b/>
        <sz val="11"/>
        <rFont val="Calibri"/>
        <family val="2"/>
        <charset val="238"/>
      </rPr>
      <t xml:space="preserve">/ budżetowe </t>
    </r>
  </si>
  <si>
    <t>ROZRACHUNKI Z ODBIORCAMI</t>
  </si>
  <si>
    <t>ODPISY AKTUALIZUJĄCE</t>
  </si>
  <si>
    <t>ROZLICZENIE DOTACJI</t>
  </si>
  <si>
    <t>NALEŻNOŚCI DOCHODZONE NA DRODZE POST. SĄDOWEGO</t>
  </si>
  <si>
    <t>ROZRACHUNKI Z TYTUŁU ZFŚŚ - POŻYCZKI</t>
  </si>
  <si>
    <r>
      <t xml:space="preserve">RAZEM  </t>
    </r>
    <r>
      <rPr>
        <b/>
        <strike/>
        <sz val="11"/>
        <rFont val="Calibri"/>
        <family val="2"/>
        <charset val="238"/>
      </rPr>
      <t>NALEŻNOŚCI</t>
    </r>
    <r>
      <rPr>
        <b/>
        <sz val="11"/>
        <rFont val="Calibri"/>
        <family val="2"/>
        <charset val="238"/>
      </rPr>
      <t xml:space="preserve">/ZOBOWIĄZANIA*/ budżetowe </t>
    </r>
  </si>
  <si>
    <t>ROZRACHUNKI Z DOSTAWCAMI</t>
  </si>
  <si>
    <t>ROZRACHUNKI Z BUDŻETEM</t>
  </si>
  <si>
    <t>ROZRACHUNKI PUBLICZNO-PRAWNE</t>
  </si>
  <si>
    <t>WYNAGRODZENIA - "13"</t>
  </si>
  <si>
    <t>POZOTAŁE ROZRACHUNKI</t>
  </si>
  <si>
    <t>ROZLICZENIA Z MIASTEM ST. WARSZAWA</t>
  </si>
  <si>
    <t>PODATEK VAT</t>
  </si>
  <si>
    <t>240 - 8</t>
  </si>
  <si>
    <t>NALEŻNOŚCI Z TYTUŁU DOCHODÓW BUDŻETOWYCH</t>
  </si>
  <si>
    <t>ROZLICZENIE DOCHODÓW BUDŻETOWYCH</t>
  </si>
  <si>
    <t>9.</t>
  </si>
  <si>
    <t>POZOSTAŁE ROZRACHUNKI</t>
  </si>
  <si>
    <t>10.</t>
  </si>
  <si>
    <t>ROZRACHUNKI Z URZĘDEM MIASTA ST. WARSZAWY</t>
  </si>
  <si>
    <t>11.</t>
  </si>
  <si>
    <t>ROZLICZENIA Z TYT. DEPOZYTÓW</t>
  </si>
  <si>
    <t>SUMY DO WYJAŚNIENIA</t>
  </si>
  <si>
    <t>13.</t>
  </si>
  <si>
    <t>zgodnie z poz D.II. bilansu.</t>
  </si>
  <si>
    <t>zgodnie z poz B.II bilansu.</t>
  </si>
  <si>
    <t>Dzielnicowe Biuro Finansów i Oświaty - Bemowo m.st. Warszawy</t>
  </si>
  <si>
    <t>Ośrodek Sportu i Rekreazcji m.st.Warszawy Dzielnicy Bemowo</t>
  </si>
  <si>
    <t>MPWiK</t>
  </si>
  <si>
    <t>Tranwaje Warszawskie</t>
  </si>
  <si>
    <t>ul. Siedmiogrodzka 20</t>
  </si>
  <si>
    <t>Sp. z o.o.</t>
  </si>
  <si>
    <t>nadpłata za użytkowanie wieczyste</t>
  </si>
  <si>
    <t>Zarząd Transportu Miejskiego</t>
  </si>
  <si>
    <t>Zakład Obsługi Systemu Monitoringu</t>
  </si>
  <si>
    <t>Placówka Opiekuńczo-wychowawcza "Słoneczka"</t>
  </si>
  <si>
    <t>Tramwaje Warszawskiej Spółka z. o.o.</t>
  </si>
  <si>
    <t>MPWiK SA</t>
  </si>
  <si>
    <t>TBS Warszawa Północ Spółka z o.o.</t>
  </si>
  <si>
    <t>AKTYWA
BILANS ZAMKNIĘCIA</t>
  </si>
  <si>
    <t xml:space="preserve"> BILANS ZAMKNIĘCIA</t>
  </si>
  <si>
    <t>PASYWA 
BILANS ZAMKNIĘCIA</t>
  </si>
  <si>
    <t>229 - N</t>
  </si>
  <si>
    <t>-</t>
  </si>
  <si>
    <t xml:space="preserve">Urząd Dzielnicy Bemowo </t>
  </si>
  <si>
    <t>jednostka budżetowa</t>
  </si>
  <si>
    <t>ul. Powstańców Śląskich 70
01 - 381 Warszawa</t>
  </si>
  <si>
    <t>ROZLICZENIE WYDATKÓW BUDŻETOWYCH</t>
  </si>
  <si>
    <t>1.6. Nieodpłatnie otrzymane środki trwałe i środki trwałe w budowie oraz wartości niematerialne i prawne</t>
  </si>
  <si>
    <t>075</t>
  </si>
  <si>
    <t>Centrum Obsługi Podatnika</t>
  </si>
  <si>
    <t>koszty związane z rosyjską agresją na Ukrainę, w tym koszty udzielonej pomocy</t>
  </si>
  <si>
    <t>Należności długoterminowe:</t>
  </si>
  <si>
    <t>Należności krótkoterminowe:</t>
  </si>
  <si>
    <r>
      <t>Rezerwy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</si>
  <si>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t>na odszkodowania z tytułu bezumownego korzystania z nieruchomości</t>
  </si>
  <si>
    <r>
      <t>Poręczenia</t>
    </r>
    <r>
      <rPr>
        <sz val="10"/>
        <rFont val="Calibri"/>
        <family val="2"/>
        <charset val="238"/>
      </rPr>
      <t>, w tym:</t>
    </r>
  </si>
  <si>
    <r>
      <t xml:space="preserve">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</si>
  <si>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t>Koszty mediów, dystrybucja energii (dot. oświetlenia ulic, sygnalizacji świetlnej...)</t>
  </si>
  <si>
    <t>Wartość początkowa na początek roku</t>
  </si>
  <si>
    <t>Wartość netto na początek roku</t>
  </si>
  <si>
    <t>Wartość netto na koniec roku</t>
  </si>
  <si>
    <t>Rok bieżący</t>
  </si>
  <si>
    <t>243-2-1</t>
  </si>
  <si>
    <t xml:space="preserve">       - 290-3</t>
  </si>
  <si>
    <t xml:space="preserve">       - 290-1</t>
  </si>
  <si>
    <t>240-8</t>
  </si>
  <si>
    <t>240-7</t>
  </si>
  <si>
    <t>221-5-1</t>
  </si>
  <si>
    <t>221-3-1</t>
  </si>
  <si>
    <t>221-2-3</t>
  </si>
  <si>
    <t xml:space="preserve">       -290-2</t>
  </si>
  <si>
    <t xml:space="preserve">       -290-1</t>
  </si>
  <si>
    <t>221-1-1</t>
  </si>
  <si>
    <t>243-1</t>
  </si>
  <si>
    <t>284-1</t>
  </si>
  <si>
    <t>288-1</t>
  </si>
  <si>
    <t>280-1; 280-2</t>
  </si>
  <si>
    <t>130-3</t>
  </si>
  <si>
    <t>139-2</t>
  </si>
  <si>
    <t>139-3</t>
  </si>
  <si>
    <t>139-4</t>
  </si>
  <si>
    <t>139-12</t>
  </si>
  <si>
    <t>221-1-2</t>
  </si>
  <si>
    <t>221-3-2</t>
  </si>
  <si>
    <t>221-5-2</t>
  </si>
  <si>
    <t>240 - 5</t>
  </si>
  <si>
    <t>280-1-1</t>
  </si>
  <si>
    <t>222 - 2</t>
  </si>
  <si>
    <t>242 - 2</t>
  </si>
  <si>
    <t>840 - 1</t>
  </si>
  <si>
    <t>M.st. Warszawa - Zarząd Transportu Miejskiego</t>
  </si>
  <si>
    <t>Zakład Obsługi Monitoringu</t>
  </si>
  <si>
    <t>Dzielnicowe Biuro Finansów Oświaty - Bemowo m.st. Warszawy</t>
  </si>
  <si>
    <t>Ośrodek Sportu i Rekreacji m.st. Warszawy Dzielnicy Bemowo</t>
  </si>
  <si>
    <t>201 - 2</t>
  </si>
  <si>
    <t>202 - 1</t>
  </si>
  <si>
    <t xml:space="preserve">       - 290 - 04</t>
  </si>
  <si>
    <t>240 - 25</t>
  </si>
  <si>
    <t>243 - 3</t>
  </si>
  <si>
    <t>243 - 4</t>
  </si>
  <si>
    <t>243 - 5</t>
  </si>
  <si>
    <t>139 - 1</t>
  </si>
  <si>
    <t>240 - 10</t>
  </si>
  <si>
    <t>240 - 12</t>
  </si>
  <si>
    <t>240 - 19</t>
  </si>
  <si>
    <t xml:space="preserve">Tramwaje Warszawskie </t>
  </si>
  <si>
    <t>D.II.6</t>
  </si>
  <si>
    <t>kaucje</t>
  </si>
  <si>
    <t>Pl.Starynkiewicza 5</t>
  </si>
  <si>
    <t>S.A.</t>
  </si>
  <si>
    <t>ul. Sobczaka 5</t>
  </si>
  <si>
    <t>Rep A 7609/2023 z 09.11.2023 r.</t>
  </si>
  <si>
    <t>Bemowskie Centrum Kultury</t>
  </si>
  <si>
    <t>obręb 6-08-02</t>
  </si>
  <si>
    <t>ul.Powstańców Śląskich 17</t>
  </si>
  <si>
    <t>9/13, 9/14, 9/15</t>
  </si>
  <si>
    <t>693+1990+400=3083</t>
  </si>
  <si>
    <t>Rep . A  21164/2022 z 21.07.2022</t>
  </si>
  <si>
    <t>Biblioteka Publiczna</t>
  </si>
  <si>
    <t>obręb 6-12-08</t>
  </si>
  <si>
    <r>
      <t xml:space="preserve">II.3.1. Informacja o stanie zatrudnienia </t>
    </r>
    <r>
      <rPr>
        <sz val="10"/>
        <rFont val="Calibri"/>
        <family val="2"/>
        <charset val="238"/>
      </rPr>
      <t>(osoby)</t>
    </r>
  </si>
  <si>
    <t xml:space="preserve">       - 290 - 4 </t>
  </si>
  <si>
    <r>
      <t xml:space="preserve">OGÓŁEM  NALEŻNOŚCI </t>
    </r>
    <r>
      <rPr>
        <b/>
        <strike/>
        <sz val="11"/>
        <rFont val="Calibri"/>
        <family val="2"/>
        <charset val="238"/>
      </rPr>
      <t>/ ZOBOWIĄZANIA</t>
    </r>
    <r>
      <rPr>
        <b/>
        <sz val="11"/>
        <rFont val="Calibri"/>
        <family val="2"/>
        <charset val="238"/>
      </rPr>
      <t xml:space="preserve"> */</t>
    </r>
  </si>
  <si>
    <r>
      <t>Należności</t>
    </r>
    <r>
      <rPr>
        <b/>
        <strike/>
        <sz val="11"/>
        <rFont val="Calibri"/>
        <family val="2"/>
        <charset val="238"/>
      </rPr>
      <t>/Zobowiązania *</t>
    </r>
    <r>
      <rPr>
        <b/>
        <sz val="11"/>
        <rFont val="Calibri"/>
        <family val="2"/>
        <charset val="238"/>
      </rPr>
      <t>/ nr konta 201, 202, 221, 224, 225, 235, 240, 243, 280, 284, 288, 290</t>
    </r>
  </si>
  <si>
    <r>
      <t xml:space="preserve">OGÓŁEM  </t>
    </r>
    <r>
      <rPr>
        <b/>
        <strike/>
        <sz val="11"/>
        <rFont val="Calibri"/>
        <family val="2"/>
        <charset val="238"/>
      </rPr>
      <t xml:space="preserve">NALEŻNOŚCI </t>
    </r>
    <r>
      <rPr>
        <b/>
        <sz val="11"/>
        <rFont val="Calibri"/>
        <family val="2"/>
        <charset val="238"/>
      </rPr>
      <t>/ ZOBOWIĄZANIA */</t>
    </r>
  </si>
  <si>
    <t>2/2001;  9-01-2001</t>
  </si>
  <si>
    <r>
      <t>RAZEM  NALEŻNOŚCI/</t>
    </r>
    <r>
      <rPr>
        <b/>
        <strike/>
        <sz val="11"/>
        <rFont val="Calibri"/>
        <family val="2"/>
        <charset val="238"/>
      </rPr>
      <t>ZOBOWIĄZANIA*</t>
    </r>
    <r>
      <rPr>
        <b/>
        <sz val="11"/>
        <rFont val="Calibri"/>
        <family val="2"/>
        <charset val="238"/>
      </rPr>
      <t>/ ZFSŚ</t>
    </r>
  </si>
  <si>
    <r>
      <t xml:space="preserve">RAZEM </t>
    </r>
    <r>
      <rPr>
        <b/>
        <strike/>
        <sz val="11"/>
        <rFont val="Calibri"/>
        <family val="2"/>
        <charset val="238"/>
      </rPr>
      <t xml:space="preserve">NALEŻNOŚCI </t>
    </r>
    <r>
      <rPr>
        <b/>
        <sz val="11"/>
        <rFont val="Calibri"/>
        <family val="2"/>
        <charset val="238"/>
      </rPr>
      <t>/ ZOBOWIĄZANIA*/  ZFŚS</t>
    </r>
  </si>
  <si>
    <t>12.</t>
  </si>
  <si>
    <t>Koszty związane z wypłatą dodatku gazowego dla gospodarstw domowych spowodowanego wzrostem stawki VAT</t>
  </si>
  <si>
    <t>Biblioteka Publiczna  w Dzielnicy Bemowo m.st Warszawy</t>
  </si>
  <si>
    <t>Instytucja Kultury</t>
  </si>
  <si>
    <t>ul. Powstańców Śląskich 17
01-381 Warszawa</t>
  </si>
  <si>
    <t>Wykaz wzajemnych należności długoterminowych, krótkoterminowych pomiędzy jednostkami  
na 31.12.2024r. podlegających wyłączeniu</t>
  </si>
  <si>
    <t>na dzień 31 grudnia 2024 roku</t>
  </si>
  <si>
    <t>sporządzony na dzień 31 grudnia 2024 r.</t>
  </si>
  <si>
    <t>sporządzone na dzień 31 grudnia 2024 r.</t>
  </si>
  <si>
    <t>II.1.1.a. Rzeczowy majątek trwały - zmiany w ciągu roku obrotowego 2024 r.</t>
  </si>
  <si>
    <t>Koszty związane z wypłatą dodatku energetycznego do gospodarstw domowych, które ogrzewają dom lub mieszkanie przy użyciu energii elektrycznej</t>
  </si>
  <si>
    <t>Komentarz do bilansu jednostek budżetowych m.st. Warszawy  
i zakładów budżetowych m.st. Warszawy 
sporządzonego na 31.12.2024
(po wycenie bilansowej - aktualizacji)</t>
  </si>
  <si>
    <t>Rozliczenie depozytów na żądanie zdeponowanych w banku na dzień 31.12.2024 związanych z realizacją zadań z zakresu administracji rządowej oraz innych zadań zleconych jednostkom samorządu terytorialnego ustawami</t>
  </si>
  <si>
    <r>
      <t xml:space="preserve">Zestawienie kont majątkowych
</t>
    </r>
    <r>
      <rPr>
        <sz val="16"/>
        <rFont val="Calibri"/>
        <family val="2"/>
        <charset val="238"/>
      </rPr>
      <t>(stan na 31.12. 2024)</t>
    </r>
  </si>
  <si>
    <t>225 - 1</t>
  </si>
  <si>
    <t>139 - 2</t>
  </si>
  <si>
    <t>225 - 3</t>
  </si>
  <si>
    <t>231 - 2</t>
  </si>
  <si>
    <t>240 - 26</t>
  </si>
  <si>
    <t>240 - 9</t>
  </si>
  <si>
    <t>Saldo na 31.12. 2024</t>
  </si>
  <si>
    <t>14.</t>
  </si>
  <si>
    <t>Wykaz wzajemnych należności długoterminowych, krótkoterminowych pomiędzy 
jednostkami budżetowymi m.st. Warszawy i zakładami budżetowymi m.st. Warszawy
na 31.12.2024 r. podlegających wyłączeniu</t>
  </si>
  <si>
    <t xml:space="preserve">Wyłączenia w zakresie decyzji za zajęcie pasa drogi  
na 31.12.2024r. </t>
  </si>
  <si>
    <t>OGÓŁEM na koniec roku 31.12.2024</t>
  </si>
  <si>
    <t xml:space="preserve">OGÓŁEM na koniec roku 31.12.2024 r. </t>
  </si>
  <si>
    <t>Wykaz wzajemnych zobowiązań długoterminowych, krótkoterminowych 
pomiędzy jednostkami budżetowymi m.st. Warszawy i zakładami budżetowymi m.st. Warszawy na 31.12.2024 r. podlegających wyłączeniu</t>
  </si>
  <si>
    <t>Wykaz wzajemnych zobowiązań długoterminowych, krótkoterminowych pomiędzy jednostkami  
na 31.12.2024 r. podlegających wyłączeniu</t>
  </si>
  <si>
    <t>Wykaz wartości środków trwałych, środków trwałych w budowie, wartości niematerialnych i prawnych nieodpłatnie otrzymanych/przekazanych z/do jednostek budżetowych m.st. Warszawy i zakładów budżetowych m.st. Warszawy, aktywów otrzymanych/przekazanych w ramach centralnego zaopatrzenia oraz skapitalizowanych odsetek przypisanych do śr. trwałych w budowie w roku obrotowym 2024 r. podlegających wyłączeniu</t>
  </si>
  <si>
    <t>OGÓŁEM WYŁĄCZENIA stan na 31.12.2024r.</t>
  </si>
  <si>
    <t>Wykaz zakupu środków trwałych/wartości niematerialnych i prawnych pomiędzy jednostkami w roku obrotowym 2024 podlegających wyłączeniu</t>
  </si>
  <si>
    <t>Wykaz sprzedaży środków trwałych/wartości niematerialnych i prawnych pomiędzy jednostkami w roku obrotowym 2024 podlegających wyłączeniu</t>
  </si>
  <si>
    <t>Wykaz wzajemnych przychodów i kosztów z tytułu operacji dokonywanych pomiędzy
jednostkami budżetowymi m.st. Warszawy i zakładami budżetowymi m.st. Warszawy
w roku obrotowym 2024r. podlegających wyłączeniu</t>
  </si>
  <si>
    <t>OGÓŁEM 
stan na 31.12.2024 r.</t>
  </si>
  <si>
    <t>Wykaz gruntów
 stanowiących własność m.st. Warszawy* przekazanych w użytkowanie / użytkowanie wieczyste spółkom, sp zoz-om oraz instytucjom kultury
na dzień 31.12.2024 r. podlegających wyłączeniu</t>
  </si>
  <si>
    <t>Wartość bilansowa gruntu na dzień 31.12.2024 r.</t>
  </si>
  <si>
    <t>11983/2016;
22-12-2016</t>
  </si>
  <si>
    <t>141 - 7</t>
  </si>
  <si>
    <t>141 - 9</t>
  </si>
  <si>
    <t>139-7</t>
  </si>
  <si>
    <t>141 - 15</t>
  </si>
  <si>
    <t>141 - 17</t>
  </si>
  <si>
    <t>201 - 1</t>
  </si>
  <si>
    <t>202 - 2</t>
  </si>
  <si>
    <t>221-4-1</t>
  </si>
  <si>
    <t>240-1-2</t>
  </si>
  <si>
    <t>240-3-2-1</t>
  </si>
  <si>
    <t>240-3-2-4</t>
  </si>
  <si>
    <t>240-3-2-7</t>
  </si>
  <si>
    <t>284-2</t>
  </si>
  <si>
    <t>288-2; 288-3</t>
  </si>
  <si>
    <t>240 - 1-1</t>
  </si>
  <si>
    <t>240 - 3-1</t>
  </si>
  <si>
    <t>240 - 3-2-3</t>
  </si>
  <si>
    <t>240 - 3-2-5</t>
  </si>
  <si>
    <t>240 - 3-2-6</t>
  </si>
  <si>
    <t>240 - 3-2-9</t>
  </si>
  <si>
    <t>283-1, 283-2</t>
  </si>
  <si>
    <t>286-1</t>
  </si>
  <si>
    <t>240 - 20</t>
  </si>
  <si>
    <t>240 - 21</t>
  </si>
  <si>
    <t>15.</t>
  </si>
  <si>
    <t>16.</t>
  </si>
  <si>
    <t>Wykaz jednostek objętych łącznym sprawozdaniem finansowym, sporządzony na dzień 31.12.2024</t>
  </si>
  <si>
    <r>
      <rPr>
        <b/>
        <strike/>
        <sz val="11"/>
        <rFont val="Calibri"/>
        <family val="2"/>
        <charset val="238"/>
      </rPr>
      <t>Należności</t>
    </r>
    <r>
      <rPr>
        <b/>
        <sz val="11"/>
        <rFont val="Calibri"/>
        <family val="2"/>
        <charset val="238"/>
      </rPr>
      <t>/Zobowiązania */ nr konta 201, 202, 221, 222, 223, 225, 229, 231, 240, 242, 247, 280, 283, 284, 286, 288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</si>
</sst>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z_ł_-;\-* #,##0.00\ _z_ł_-;_-* &quot;-&quot;??\ _z_ł_-;_-@_-"/>
    <numFmt numFmtId="165" formatCode="_-* #,##0.00\ &quot;DM&quot;_-;\-* #,##0.00\ &quot;DM&quot;_-;_-* &quot;-&quot;??\ &quot;DM&quot;_-;_-@_-"/>
    <numFmt numFmtId="166" formatCode="#,##0.00;[Red]#,##0.00"/>
    <numFmt numFmtId="167" formatCode="0.0000%"/>
    <numFmt numFmtId="168" formatCode="#,##0.00_ ;\-#,##0.00\ "/>
    <numFmt numFmtId="169" formatCode="#,##0.00\ _z_ł"/>
    <numFmt numFmtId="170" formatCode="###,###,###,##0.00"/>
    <numFmt numFmtId="171" formatCode="#,##0.00\ &quot;zł&quot;"/>
  </numFmts>
  <fonts count="15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11"/>
      <color indexed="12"/>
      <name val="Calibri"/>
      <family val="2"/>
      <charset val="238"/>
    </font>
    <font>
      <u/>
      <sz val="11"/>
      <name val="Calibri"/>
      <family val="2"/>
      <charset val="238"/>
    </font>
    <font>
      <i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Book Antiqua"/>
      <family val="1"/>
      <charset val="238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trike/>
      <sz val="11"/>
      <name val="Calibri"/>
      <family val="2"/>
      <charset val="238"/>
    </font>
    <font>
      <b/>
      <u/>
      <sz val="14"/>
      <name val="Book Antiqua"/>
      <family val="1"/>
      <charset val="238"/>
    </font>
    <font>
      <sz val="14"/>
      <name val="Book Antiqua"/>
      <family val="1"/>
      <charset val="238"/>
    </font>
    <font>
      <b/>
      <sz val="11"/>
      <name val="Book Antiqua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B05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B0F0"/>
      <name val="Arial"/>
      <family val="2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Book Antiqua"/>
      <family val="1"/>
      <charset val="238"/>
    </font>
    <font>
      <i/>
      <sz val="10"/>
      <name val="Book Antiqua"/>
      <family val="1"/>
      <charset val="238"/>
    </font>
    <font>
      <sz val="11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9"/>
      <name val="Calibri"/>
      <family val="2"/>
      <charset val="238"/>
    </font>
    <font>
      <b/>
      <sz val="8"/>
      <name val="Book Antiqua"/>
      <family val="1"/>
      <charset val="238"/>
    </font>
    <font>
      <i/>
      <sz val="9"/>
      <name val="Book Antiqua"/>
      <family val="1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u/>
      <sz val="14"/>
      <name val="Calibri"/>
      <family val="2"/>
      <charset val="238"/>
    </font>
    <font>
      <b/>
      <sz val="9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b/>
      <u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65">
    <xf numFmtId="0" fontId="0" fillId="0" borderId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7" fillId="25" borderId="0" applyNumberFormat="0" applyBorder="0" applyAlignment="0" applyProtection="0"/>
    <xf numFmtId="0" fontId="9" fillId="16" borderId="0" applyNumberFormat="0" applyBorder="0" applyAlignment="0" applyProtection="0"/>
    <xf numFmtId="0" fontId="10" fillId="28" borderId="1" applyNumberFormat="0" applyAlignment="0" applyProtection="0"/>
    <xf numFmtId="0" fontId="11" fillId="17" borderId="2" applyNumberFormat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5" borderId="1" applyNumberFormat="0" applyAlignment="0" applyProtection="0"/>
    <xf numFmtId="0" fontId="19" fillId="0" borderId="7" applyNumberFormat="0" applyFill="0" applyAlignment="0" applyProtection="0"/>
    <xf numFmtId="0" fontId="20" fillId="25" borderId="0" applyNumberFormat="0" applyBorder="0" applyAlignment="0" applyProtection="0"/>
    <xf numFmtId="0" fontId="24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2" fillId="24" borderId="8" applyNumberFormat="0" applyFont="0" applyAlignment="0" applyProtection="0"/>
    <xf numFmtId="0" fontId="21" fillId="28" borderId="3" applyNumberFormat="0" applyAlignment="0" applyProtection="0"/>
    <xf numFmtId="4" fontId="22" fillId="34" borderId="9" applyNumberFormat="0" applyProtection="0">
      <alignment vertical="center"/>
    </xf>
    <xf numFmtId="4" fontId="23" fillId="34" borderId="9" applyNumberFormat="0" applyProtection="0">
      <alignment vertical="center"/>
    </xf>
    <xf numFmtId="4" fontId="22" fillId="34" borderId="9" applyNumberFormat="0" applyProtection="0">
      <alignment horizontal="left" vertical="center" indent="1"/>
    </xf>
    <xf numFmtId="0" fontId="22" fillId="34" borderId="9" applyNumberFormat="0" applyProtection="0">
      <alignment horizontal="left" vertical="top" indent="1"/>
    </xf>
    <xf numFmtId="4" fontId="22" fillId="2" borderId="0" applyNumberFormat="0" applyProtection="0">
      <alignment horizontal="left" vertical="center" indent="1"/>
    </xf>
    <xf numFmtId="4" fontId="24" fillId="7" borderId="9" applyNumberFormat="0" applyProtection="0">
      <alignment horizontal="right" vertical="center"/>
    </xf>
    <xf numFmtId="4" fontId="24" fillId="3" borderId="9" applyNumberFormat="0" applyProtection="0">
      <alignment horizontal="right" vertical="center"/>
    </xf>
    <xf numFmtId="4" fontId="24" fillId="26" borderId="9" applyNumberFormat="0" applyProtection="0">
      <alignment horizontal="right" vertical="center"/>
    </xf>
    <xf numFmtId="4" fontId="24" fillId="27" borderId="9" applyNumberFormat="0" applyProtection="0">
      <alignment horizontal="right" vertical="center"/>
    </xf>
    <xf numFmtId="4" fontId="24" fillId="35" borderId="9" applyNumberFormat="0" applyProtection="0">
      <alignment horizontal="right" vertical="center"/>
    </xf>
    <xf numFmtId="4" fontId="24" fillId="36" borderId="9" applyNumberFormat="0" applyProtection="0">
      <alignment horizontal="right" vertical="center"/>
    </xf>
    <xf numFmtId="4" fontId="24" fillId="9" borderId="9" applyNumberFormat="0" applyProtection="0">
      <alignment horizontal="right" vertical="center"/>
    </xf>
    <xf numFmtId="4" fontId="24" fillId="29" borderId="9" applyNumberFormat="0" applyProtection="0">
      <alignment horizontal="right" vertical="center"/>
    </xf>
    <xf numFmtId="4" fontId="24" fillId="37" borderId="9" applyNumberFormat="0" applyProtection="0">
      <alignment horizontal="right" vertical="center"/>
    </xf>
    <xf numFmtId="4" fontId="22" fillId="38" borderId="10" applyNumberFormat="0" applyProtection="0">
      <alignment horizontal="left" vertical="center" indent="1"/>
    </xf>
    <xf numFmtId="4" fontId="24" fillId="39" borderId="0" applyNumberFormat="0" applyProtection="0">
      <alignment horizontal="left" vertical="center" indent="1"/>
    </xf>
    <xf numFmtId="4" fontId="25" fillId="8" borderId="0" applyNumberFormat="0" applyProtection="0">
      <alignment horizontal="left" vertical="center" indent="1"/>
    </xf>
    <xf numFmtId="4" fontId="24" fillId="2" borderId="9" applyNumberFormat="0" applyProtection="0">
      <alignment horizontal="right" vertical="center"/>
    </xf>
    <xf numFmtId="4" fontId="26" fillId="39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12" fillId="8" borderId="9" applyNumberFormat="0" applyProtection="0">
      <alignment horizontal="left" vertical="center" indent="1"/>
    </xf>
    <xf numFmtId="0" fontId="12" fillId="8" borderId="9" applyNumberFormat="0" applyProtection="0">
      <alignment horizontal="left" vertical="top" indent="1"/>
    </xf>
    <xf numFmtId="0" fontId="12" fillId="2" borderId="9" applyNumberFormat="0" applyProtection="0">
      <alignment horizontal="left" vertical="center" indent="1"/>
    </xf>
    <xf numFmtId="0" fontId="12" fillId="2" borderId="9" applyNumberFormat="0" applyProtection="0">
      <alignment horizontal="left" vertical="top" indent="1"/>
    </xf>
    <xf numFmtId="0" fontId="12" fillId="6" borderId="9" applyNumberFormat="0" applyProtection="0">
      <alignment horizontal="left" vertical="center" indent="1"/>
    </xf>
    <xf numFmtId="0" fontId="12" fillId="6" borderId="9" applyNumberFormat="0" applyProtection="0">
      <alignment horizontal="left" vertical="top" indent="1"/>
    </xf>
    <xf numFmtId="0" fontId="12" fillId="39" borderId="9" applyNumberFormat="0" applyProtection="0">
      <alignment horizontal="left" vertical="center" indent="1"/>
    </xf>
    <xf numFmtId="0" fontId="12" fillId="39" borderId="9" applyNumberFormat="0" applyProtection="0">
      <alignment horizontal="left" vertical="top" indent="1"/>
    </xf>
    <xf numFmtId="0" fontId="12" fillId="5" borderId="11" applyNumberFormat="0">
      <protection locked="0"/>
    </xf>
    <xf numFmtId="4" fontId="24" fillId="4" borderId="9" applyNumberFormat="0" applyProtection="0">
      <alignment vertical="center"/>
    </xf>
    <xf numFmtId="4" fontId="27" fillId="4" borderId="9" applyNumberFormat="0" applyProtection="0">
      <alignment vertical="center"/>
    </xf>
    <xf numFmtId="4" fontId="24" fillId="4" borderId="9" applyNumberFormat="0" applyProtection="0">
      <alignment horizontal="left" vertical="center" indent="1"/>
    </xf>
    <xf numFmtId="0" fontId="24" fillId="4" borderId="9" applyNumberFormat="0" applyProtection="0">
      <alignment horizontal="left" vertical="top" indent="1"/>
    </xf>
    <xf numFmtId="4" fontId="24" fillId="39" borderId="9" applyNumberFormat="0" applyProtection="0">
      <alignment horizontal="right" vertical="center"/>
    </xf>
    <xf numFmtId="4" fontId="27" fillId="39" borderId="9" applyNumberFormat="0" applyProtection="0">
      <alignment horizontal="right" vertical="center"/>
    </xf>
    <xf numFmtId="4" fontId="24" fillId="2" borderId="9" applyNumberFormat="0" applyProtection="0">
      <alignment horizontal="left" vertical="center" indent="1"/>
    </xf>
    <xf numFmtId="0" fontId="24" fillId="2" borderId="9" applyNumberFormat="0" applyProtection="0">
      <alignment horizontal="left" vertical="top" indent="1"/>
    </xf>
    <xf numFmtId="4" fontId="28" fillId="40" borderId="0" applyNumberFormat="0" applyProtection="0">
      <alignment horizontal="left" vertical="center" indent="1"/>
    </xf>
    <xf numFmtId="4" fontId="29" fillId="39" borderId="9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13" fillId="0" borderId="12" applyNumberFormat="0" applyFill="0" applyAlignment="0" applyProtection="0"/>
    <xf numFmtId="165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0" fillId="0" borderId="0" applyNumberFormat="0" applyFill="0" applyBorder="0" applyAlignment="0" applyProtection="0"/>
    <xf numFmtId="0" fontId="111" fillId="0" borderId="149" applyNumberFormat="0" applyFill="0" applyAlignment="0" applyProtection="0"/>
    <xf numFmtId="0" fontId="112" fillId="0" borderId="150" applyNumberFormat="0" applyFill="0" applyAlignment="0" applyProtection="0"/>
    <xf numFmtId="0" fontId="113" fillId="0" borderId="151" applyNumberFormat="0" applyFill="0" applyAlignment="0" applyProtection="0"/>
    <xf numFmtId="0" fontId="113" fillId="0" borderId="0" applyNumberFormat="0" applyFill="0" applyBorder="0" applyAlignment="0" applyProtection="0"/>
    <xf numFmtId="0" fontId="114" fillId="50" borderId="0" applyNumberFormat="0" applyBorder="0" applyAlignment="0" applyProtection="0"/>
    <xf numFmtId="0" fontId="115" fillId="51" borderId="0" applyNumberFormat="0" applyBorder="0" applyAlignment="0" applyProtection="0"/>
    <xf numFmtId="0" fontId="116" fillId="52" borderId="0" applyNumberFormat="0" applyBorder="0" applyAlignment="0" applyProtection="0"/>
    <xf numFmtId="0" fontId="117" fillId="53" borderId="152" applyNumberFormat="0" applyAlignment="0" applyProtection="0"/>
    <xf numFmtId="0" fontId="118" fillId="54" borderId="153" applyNumberFormat="0" applyAlignment="0" applyProtection="0"/>
    <xf numFmtId="0" fontId="119" fillId="54" borderId="152" applyNumberFormat="0" applyAlignment="0" applyProtection="0"/>
    <xf numFmtId="0" fontId="120" fillId="0" borderId="154" applyNumberFormat="0" applyFill="0" applyAlignment="0" applyProtection="0"/>
    <xf numFmtId="0" fontId="121" fillId="55" borderId="155" applyNumberFormat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157" applyNumberFormat="0" applyFill="0" applyAlignment="0" applyProtection="0"/>
    <xf numFmtId="0" fontId="125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125" fillId="60" borderId="0" applyNumberFormat="0" applyBorder="0" applyAlignment="0" applyProtection="0"/>
    <xf numFmtId="0" fontId="125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125" fillId="64" borderId="0" applyNumberFormat="0" applyBorder="0" applyAlignment="0" applyProtection="0"/>
    <xf numFmtId="0" fontId="125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125" fillId="68" borderId="0" applyNumberFormat="0" applyBorder="0" applyAlignment="0" applyProtection="0"/>
    <xf numFmtId="0" fontId="125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1" borderId="0" applyNumberFormat="0" applyBorder="0" applyAlignment="0" applyProtection="0"/>
    <xf numFmtId="0" fontId="125" fillId="72" borderId="0" applyNumberFormat="0" applyBorder="0" applyAlignment="0" applyProtection="0"/>
    <xf numFmtId="0" fontId="125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5" borderId="0" applyNumberFormat="0" applyBorder="0" applyAlignment="0" applyProtection="0"/>
    <xf numFmtId="0" fontId="125" fillId="76" borderId="0" applyNumberFormat="0" applyBorder="0" applyAlignment="0" applyProtection="0"/>
    <xf numFmtId="0" fontId="125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79" borderId="0" applyNumberFormat="0" applyBorder="0" applyAlignment="0" applyProtection="0"/>
    <xf numFmtId="0" fontId="125" fillId="80" borderId="0" applyNumberFormat="0" applyBorder="0" applyAlignment="0" applyProtection="0"/>
    <xf numFmtId="0" fontId="3" fillId="0" borderId="0"/>
    <xf numFmtId="0" fontId="3" fillId="56" borderId="156" applyNumberFormat="0" applyFont="0" applyAlignment="0" applyProtection="0"/>
    <xf numFmtId="0" fontId="2" fillId="0" borderId="0"/>
    <xf numFmtId="0" fontId="2" fillId="56" borderId="156" applyNumberFormat="0" applyFont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70" borderId="0" applyNumberFormat="0" applyBorder="0" applyAlignment="0" applyProtection="0"/>
    <xf numFmtId="0" fontId="2" fillId="71" borderId="0" applyNumberFormat="0" applyBorder="0" applyAlignment="0" applyProtection="0"/>
    <xf numFmtId="0" fontId="2" fillId="74" borderId="0" applyNumberFormat="0" applyBorder="0" applyAlignment="0" applyProtection="0"/>
    <xf numFmtId="0" fontId="2" fillId="75" borderId="0" applyNumberFormat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0" fontId="4" fillId="0" borderId="0"/>
    <xf numFmtId="0" fontId="4" fillId="24" borderId="8" applyNumberFormat="0" applyFont="0" applyAlignment="0" applyProtection="0"/>
    <xf numFmtId="0" fontId="4" fillId="8" borderId="9" applyNumberFormat="0" applyProtection="0">
      <alignment horizontal="left" vertical="center" indent="1"/>
    </xf>
    <xf numFmtId="0" fontId="4" fillId="8" borderId="9" applyNumberFormat="0" applyProtection="0">
      <alignment horizontal="left" vertical="top" indent="1"/>
    </xf>
    <xf numFmtId="0" fontId="4" fillId="2" borderId="9" applyNumberFormat="0" applyProtection="0">
      <alignment horizontal="left" vertical="center" indent="1"/>
    </xf>
    <xf numFmtId="0" fontId="4" fillId="2" borderId="9" applyNumberFormat="0" applyProtection="0">
      <alignment horizontal="left" vertical="top" indent="1"/>
    </xf>
    <xf numFmtId="0" fontId="4" fillId="6" borderId="9" applyNumberFormat="0" applyProtection="0">
      <alignment horizontal="left" vertical="center" indent="1"/>
    </xf>
    <xf numFmtId="0" fontId="4" fillId="6" borderId="9" applyNumberFormat="0" applyProtection="0">
      <alignment horizontal="left" vertical="top" indent="1"/>
    </xf>
    <xf numFmtId="0" fontId="4" fillId="39" borderId="9" applyNumberFormat="0" applyProtection="0">
      <alignment horizontal="left" vertical="center" indent="1"/>
    </xf>
    <xf numFmtId="0" fontId="4" fillId="39" borderId="9" applyNumberFormat="0" applyProtection="0">
      <alignment horizontal="left" vertical="top" indent="1"/>
    </xf>
    <xf numFmtId="0" fontId="4" fillId="5" borderId="11" applyNumberFormat="0">
      <protection locked="0"/>
    </xf>
    <xf numFmtId="165" fontId="4" fillId="0" borderId="0" applyFont="0" applyFill="0" applyBorder="0" applyAlignment="0" applyProtection="0"/>
    <xf numFmtId="0" fontId="1" fillId="0" borderId="0"/>
  </cellStyleXfs>
  <cellXfs count="1804">
    <xf numFmtId="0" fontId="0" fillId="0" borderId="0" xfId="0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4" fontId="34" fillId="0" borderId="0" xfId="0" applyNumberFormat="1" applyFont="1" applyAlignment="1">
      <alignment horizontal="left"/>
    </xf>
    <xf numFmtId="4" fontId="36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60" fillId="45" borderId="25" xfId="0" applyFont="1" applyFill="1" applyBorder="1" applyAlignment="1">
      <alignment horizontal="center" wrapText="1"/>
    </xf>
    <xf numFmtId="0" fontId="60" fillId="45" borderId="29" xfId="0" applyFont="1" applyFill="1" applyBorder="1" applyAlignment="1">
      <alignment horizontal="center" wrapText="1"/>
    </xf>
    <xf numFmtId="0" fontId="60" fillId="45" borderId="30" xfId="0" applyFont="1" applyFill="1" applyBorder="1" applyAlignment="1">
      <alignment horizontal="center" wrapText="1"/>
    </xf>
    <xf numFmtId="0" fontId="60" fillId="45" borderId="31" xfId="0" applyFont="1" applyFill="1" applyBorder="1" applyAlignment="1">
      <alignment horizontal="center" wrapText="1"/>
    </xf>
    <xf numFmtId="4" fontId="60" fillId="0" borderId="11" xfId="0" applyNumberFormat="1" applyFont="1" applyBorder="1" applyAlignment="1">
      <alignment horizontal="right"/>
    </xf>
    <xf numFmtId="4" fontId="36" fillId="0" borderId="25" xfId="0" applyNumberFormat="1" applyFont="1" applyBorder="1" applyAlignment="1">
      <alignment vertical="center"/>
    </xf>
    <xf numFmtId="4" fontId="36" fillId="0" borderId="32" xfId="0" applyNumberFormat="1" applyFont="1" applyBorder="1" applyAlignment="1">
      <alignment vertical="center"/>
    </xf>
    <xf numFmtId="4" fontId="60" fillId="0" borderId="25" xfId="0" applyNumberFormat="1" applyFont="1" applyBorder="1" applyAlignment="1">
      <alignment horizontal="right"/>
    </xf>
    <xf numFmtId="2" fontId="61" fillId="0" borderId="11" xfId="0" applyNumberFormat="1" applyFont="1" applyBorder="1" applyAlignment="1">
      <alignment wrapText="1"/>
    </xf>
    <xf numFmtId="2" fontId="61" fillId="0" borderId="25" xfId="0" applyNumberFormat="1" applyFont="1" applyBorder="1" applyAlignment="1">
      <alignment wrapText="1"/>
    </xf>
    <xf numFmtId="2" fontId="61" fillId="0" borderId="34" xfId="0" applyNumberFormat="1" applyFont="1" applyBorder="1" applyAlignment="1">
      <alignment horizontal="right"/>
    </xf>
    <xf numFmtId="4" fontId="36" fillId="0" borderId="27" xfId="0" applyNumberFormat="1" applyFont="1" applyBorder="1" applyAlignment="1">
      <alignment vertical="center"/>
    </xf>
    <xf numFmtId="4" fontId="36" fillId="0" borderId="33" xfId="0" applyNumberFormat="1" applyFont="1" applyBorder="1" applyAlignment="1">
      <alignment vertical="center"/>
    </xf>
    <xf numFmtId="2" fontId="61" fillId="0" borderId="27" xfId="0" applyNumberFormat="1" applyFont="1" applyBorder="1" applyAlignment="1">
      <alignment horizontal="right"/>
    </xf>
    <xf numFmtId="4" fontId="60" fillId="44" borderId="37" xfId="0" applyNumberFormat="1" applyFont="1" applyFill="1" applyBorder="1" applyAlignment="1">
      <alignment horizontal="right"/>
    </xf>
    <xf numFmtId="4" fontId="60" fillId="44" borderId="13" xfId="0" applyNumberFormat="1" applyFont="1" applyFill="1" applyBorder="1" applyAlignment="1">
      <alignment horizontal="right"/>
    </xf>
    <xf numFmtId="4" fontId="60" fillId="44" borderId="38" xfId="0" applyNumberFormat="1" applyFont="1" applyFill="1" applyBorder="1" applyAlignment="1">
      <alignment horizontal="right"/>
    </xf>
    <xf numFmtId="4" fontId="40" fillId="41" borderId="18" xfId="0" applyNumberFormat="1" applyFont="1" applyFill="1" applyBorder="1" applyAlignment="1">
      <alignment horizontal="center" vertical="center" wrapText="1"/>
    </xf>
    <xf numFmtId="4" fontId="35" fillId="44" borderId="41" xfId="0" applyNumberFormat="1" applyFont="1" applyFill="1" applyBorder="1" applyAlignment="1">
      <alignment horizontal="center" vertical="center" wrapText="1"/>
    </xf>
    <xf numFmtId="4" fontId="40" fillId="0" borderId="42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40" fillId="0" borderId="23" xfId="0" applyNumberFormat="1" applyFont="1" applyBorder="1" applyAlignment="1">
      <alignment vertical="center"/>
    </xf>
    <xf numFmtId="4" fontId="40" fillId="0" borderId="44" xfId="0" applyNumberFormat="1" applyFont="1" applyBorder="1" applyAlignment="1">
      <alignment vertical="center"/>
    </xf>
    <xf numFmtId="4" fontId="40" fillId="0" borderId="24" xfId="0" applyNumberFormat="1" applyFont="1" applyBorder="1" applyAlignment="1">
      <alignment vertical="center"/>
    </xf>
    <xf numFmtId="4" fontId="40" fillId="0" borderId="25" xfId="0" applyNumberFormat="1" applyFont="1" applyBorder="1" applyAlignment="1">
      <alignment vertical="center"/>
    </xf>
    <xf numFmtId="4" fontId="36" fillId="0" borderId="44" xfId="0" applyNumberFormat="1" applyFont="1" applyBorder="1" applyAlignment="1">
      <alignment vertical="center"/>
    </xf>
    <xf numFmtId="4" fontId="36" fillId="0" borderId="24" xfId="0" applyNumberFormat="1" applyFont="1" applyBorder="1" applyAlignment="1">
      <alignment vertical="center"/>
    </xf>
    <xf numFmtId="4" fontId="36" fillId="0" borderId="48" xfId="0" applyNumberFormat="1" applyFont="1" applyBorder="1" applyAlignment="1">
      <alignment vertical="center"/>
    </xf>
    <xf numFmtId="4" fontId="36" fillId="0" borderId="47" xfId="0" applyNumberFormat="1" applyFont="1" applyBorder="1" applyAlignment="1">
      <alignment vertical="center"/>
    </xf>
    <xf numFmtId="4" fontId="36" fillId="0" borderId="49" xfId="0" applyNumberFormat="1" applyFont="1" applyBorder="1" applyAlignment="1">
      <alignment vertical="center"/>
    </xf>
    <xf numFmtId="4" fontId="40" fillId="41" borderId="18" xfId="0" applyNumberFormat="1" applyFont="1" applyFill="1" applyBorder="1" applyAlignment="1">
      <alignment vertical="center"/>
    </xf>
    <xf numFmtId="4" fontId="40" fillId="0" borderId="53" xfId="0" applyNumberFormat="1" applyFont="1" applyBorder="1" applyAlignment="1">
      <alignment vertical="center"/>
    </xf>
    <xf numFmtId="4" fontId="40" fillId="0" borderId="52" xfId="0" applyNumberFormat="1" applyFont="1" applyBorder="1" applyAlignment="1">
      <alignment vertical="center"/>
    </xf>
    <xf numFmtId="4" fontId="40" fillId="0" borderId="31" xfId="0" applyNumberFormat="1" applyFont="1" applyBorder="1" applyAlignment="1">
      <alignment vertical="center"/>
    </xf>
    <xf numFmtId="4" fontId="40" fillId="41" borderId="19" xfId="0" applyNumberFormat="1" applyFont="1" applyFill="1" applyBorder="1" applyAlignment="1">
      <alignment vertical="center"/>
    </xf>
    <xf numFmtId="4" fontId="36" fillId="0" borderId="0" xfId="0" applyNumberFormat="1" applyFont="1" applyAlignment="1" applyProtection="1">
      <alignment vertical="center"/>
      <protection locked="0"/>
    </xf>
    <xf numFmtId="4" fontId="36" fillId="41" borderId="56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4" fontId="40" fillId="0" borderId="52" xfId="0" applyNumberFormat="1" applyFont="1" applyBorder="1" applyAlignment="1" applyProtection="1">
      <alignment vertical="center"/>
      <protection locked="0"/>
    </xf>
    <xf numFmtId="4" fontId="36" fillId="0" borderId="20" xfId="0" applyNumberFormat="1" applyFont="1" applyBorder="1" applyAlignment="1" applyProtection="1">
      <alignment vertical="center"/>
      <protection locked="0"/>
    </xf>
    <xf numFmtId="4" fontId="36" fillId="0" borderId="24" xfId="0" applyNumberFormat="1" applyFont="1" applyBorder="1" applyAlignment="1" applyProtection="1">
      <alignment vertical="center"/>
      <protection locked="0"/>
    </xf>
    <xf numFmtId="4" fontId="36" fillId="0" borderId="61" xfId="0" applyNumberFormat="1" applyFont="1" applyBorder="1" applyAlignment="1" applyProtection="1">
      <alignment horizontal="right" vertical="center" wrapText="1"/>
      <protection locked="0"/>
    </xf>
    <xf numFmtId="4" fontId="36" fillId="0" borderId="11" xfId="0" applyNumberFormat="1" applyFont="1" applyBorder="1" applyAlignment="1" applyProtection="1">
      <alignment horizontal="right" vertical="center" wrapText="1"/>
      <protection locked="0"/>
    </xf>
    <xf numFmtId="4" fontId="36" fillId="0" borderId="34" xfId="0" applyNumberFormat="1" applyFont="1" applyBorder="1" applyAlignment="1" applyProtection="1">
      <alignment horizontal="right" vertical="center" wrapText="1"/>
      <protection locked="0"/>
    </xf>
    <xf numFmtId="4" fontId="36" fillId="44" borderId="61" xfId="0" applyNumberFormat="1" applyFont="1" applyFill="1" applyBorder="1" applyAlignment="1" applyProtection="1">
      <alignment horizontal="right" vertical="center" wrapText="1"/>
      <protection locked="0"/>
    </xf>
    <xf numFmtId="4" fontId="35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18" xfId="0" applyNumberFormat="1" applyFont="1" applyFill="1" applyBorder="1" applyAlignment="1">
      <alignment horizontal="right" vertical="center" wrapText="1"/>
    </xf>
    <xf numFmtId="4" fontId="35" fillId="41" borderId="41" xfId="0" applyNumberFormat="1" applyFont="1" applyFill="1" applyBorder="1" applyAlignment="1">
      <alignment horizontal="right" vertical="center" wrapText="1"/>
    </xf>
    <xf numFmtId="4" fontId="40" fillId="44" borderId="18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Alignment="1">
      <alignment vertical="center" wrapText="1"/>
    </xf>
    <xf numFmtId="4" fontId="35" fillId="41" borderId="18" xfId="0" applyNumberFormat="1" applyFont="1" applyFill="1" applyBorder="1" applyAlignment="1">
      <alignment horizontal="center" vertical="center" wrapText="1"/>
    </xf>
    <xf numFmtId="4" fontId="35" fillId="44" borderId="18" xfId="0" applyNumberFormat="1" applyFont="1" applyFill="1" applyBorder="1" applyAlignment="1">
      <alignment horizontal="center" vertical="center" wrapText="1"/>
    </xf>
    <xf numFmtId="4" fontId="35" fillId="44" borderId="66" xfId="0" applyNumberFormat="1" applyFont="1" applyFill="1" applyBorder="1" applyAlignment="1">
      <alignment horizontal="left" vertical="center" wrapText="1"/>
    </xf>
    <xf numFmtId="4" fontId="40" fillId="41" borderId="18" xfId="0" applyNumberFormat="1" applyFont="1" applyFill="1" applyBorder="1" applyAlignment="1">
      <alignment horizontal="right" vertical="center"/>
    </xf>
    <xf numFmtId="4" fontId="40" fillId="0" borderId="18" xfId="0" applyNumberFormat="1" applyFont="1" applyBorder="1" applyAlignment="1" applyProtection="1">
      <alignment horizontal="right" vertical="center" wrapText="1"/>
      <protection locked="0"/>
    </xf>
    <xf numFmtId="4" fontId="35" fillId="44" borderId="5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36" fillId="44" borderId="38" xfId="0" applyNumberFormat="1" applyFont="1" applyFill="1" applyBorder="1" applyAlignment="1" applyProtection="1">
      <alignment horizontal="center" vertical="center" wrapText="1"/>
      <protection locked="0"/>
    </xf>
    <xf numFmtId="4" fontId="36" fillId="44" borderId="37" xfId="0" applyNumberFormat="1" applyFont="1" applyFill="1" applyBorder="1" applyAlignment="1" applyProtection="1">
      <alignment horizontal="center" vertical="center" wrapText="1"/>
      <protection locked="0"/>
    </xf>
    <xf numFmtId="4" fontId="36" fillId="44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0" xfId="0" applyNumberFormat="1" applyFont="1" applyBorder="1" applyAlignment="1" applyProtection="1">
      <alignment horizontal="right" vertical="center" wrapText="1"/>
      <protection locked="0"/>
    </xf>
    <xf numFmtId="4" fontId="40" fillId="0" borderId="19" xfId="0" applyNumberFormat="1" applyFont="1" applyBorder="1" applyAlignment="1" applyProtection="1">
      <alignment horizontal="right" vertical="center" wrapText="1"/>
      <protection locked="0"/>
    </xf>
    <xf numFmtId="4" fontId="40" fillId="0" borderId="72" xfId="0" applyNumberFormat="1" applyFont="1" applyBorder="1" applyAlignment="1" applyProtection="1">
      <alignment horizontal="right" vertical="center" wrapText="1"/>
      <protection locked="0"/>
    </xf>
    <xf numFmtId="4" fontId="40" fillId="0" borderId="18" xfId="0" applyNumberFormat="1" applyFont="1" applyBorder="1" applyAlignment="1" applyProtection="1">
      <alignment vertical="center" wrapText="1"/>
      <protection locked="0"/>
    </xf>
    <xf numFmtId="4" fontId="40" fillId="0" borderId="50" xfId="0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right" vertical="center" wrapText="1"/>
    </xf>
    <xf numFmtId="4" fontId="35" fillId="44" borderId="7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36" fillId="0" borderId="0" xfId="0" applyNumberFormat="1" applyFont="1" applyAlignment="1">
      <alignment horizontal="right" vertical="center"/>
    </xf>
    <xf numFmtId="4" fontId="34" fillId="0" borderId="0" xfId="0" applyNumberFormat="1" applyFont="1" applyAlignment="1">
      <alignment horizontal="left" vertical="center"/>
    </xf>
    <xf numFmtId="4" fontId="34" fillId="0" borderId="0" xfId="0" applyNumberFormat="1" applyFont="1" applyAlignment="1">
      <alignment vertical="center"/>
    </xf>
    <xf numFmtId="4" fontId="34" fillId="0" borderId="42" xfId="0" applyNumberFormat="1" applyFont="1" applyBorder="1" applyAlignment="1">
      <alignment horizontal="right" vertical="center" wrapText="1"/>
    </xf>
    <xf numFmtId="4" fontId="34" fillId="0" borderId="22" xfId="0" applyNumberFormat="1" applyFont="1" applyBorder="1" applyAlignment="1">
      <alignment horizontal="right" vertical="center" wrapText="1"/>
    </xf>
    <xf numFmtId="4" fontId="34" fillId="0" borderId="53" xfId="0" applyNumberFormat="1" applyFont="1" applyBorder="1" applyAlignment="1">
      <alignment horizontal="right" vertical="center" wrapText="1"/>
    </xf>
    <xf numFmtId="4" fontId="34" fillId="0" borderId="52" xfId="0" applyNumberFormat="1" applyFont="1" applyBorder="1" applyAlignment="1">
      <alignment horizontal="right" vertical="center" wrapText="1"/>
    </xf>
    <xf numFmtId="4" fontId="34" fillId="0" borderId="48" xfId="0" applyNumberFormat="1" applyFont="1" applyBorder="1" applyAlignment="1">
      <alignment horizontal="right" vertical="center" wrapText="1"/>
    </xf>
    <xf numFmtId="4" fontId="34" fillId="0" borderId="47" xfId="0" applyNumberFormat="1" applyFont="1" applyBorder="1" applyAlignment="1">
      <alignment horizontal="right" vertical="center" wrapText="1"/>
    </xf>
    <xf numFmtId="4" fontId="34" fillId="0" borderId="70" xfId="0" applyNumberFormat="1" applyFont="1" applyBorder="1" applyAlignment="1">
      <alignment horizontal="right" vertical="center" wrapText="1"/>
    </xf>
    <xf numFmtId="4" fontId="34" fillId="0" borderId="26" xfId="0" applyNumberFormat="1" applyFont="1" applyBorder="1" applyAlignment="1">
      <alignment horizontal="right" vertical="center" wrapText="1"/>
    </xf>
    <xf numFmtId="4" fontId="40" fillId="0" borderId="18" xfId="0" applyNumberFormat="1" applyFont="1" applyBorder="1" applyAlignment="1">
      <alignment vertical="center"/>
    </xf>
    <xf numFmtId="4" fontId="43" fillId="0" borderId="24" xfId="0" applyNumberFormat="1" applyFont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4" fontId="43" fillId="0" borderId="26" xfId="0" applyNumberFormat="1" applyFont="1" applyBorder="1" applyAlignment="1" applyProtection="1">
      <alignment vertical="center"/>
      <protection locked="0"/>
    </xf>
    <xf numFmtId="4" fontId="36" fillId="0" borderId="27" xfId="0" applyNumberFormat="1" applyFont="1" applyBorder="1" applyAlignment="1" applyProtection="1">
      <alignment vertical="center"/>
      <protection locked="0"/>
    </xf>
    <xf numFmtId="4" fontId="36" fillId="0" borderId="31" xfId="0" applyNumberFormat="1" applyFont="1" applyBorder="1" applyAlignment="1" applyProtection="1">
      <alignment vertical="center"/>
      <protection locked="0"/>
    </xf>
    <xf numFmtId="4" fontId="43" fillId="0" borderId="59" xfId="0" applyNumberFormat="1" applyFont="1" applyBorder="1" applyAlignment="1" applyProtection="1">
      <alignment vertical="center"/>
      <protection locked="0"/>
    </xf>
    <xf numFmtId="4" fontId="43" fillId="0" borderId="74" xfId="0" applyNumberFormat="1" applyFont="1" applyBorder="1" applyAlignment="1" applyProtection="1">
      <alignment vertical="center"/>
      <protection locked="0"/>
    </xf>
    <xf numFmtId="4" fontId="43" fillId="0" borderId="43" xfId="0" applyNumberFormat="1" applyFont="1" applyBorder="1" applyAlignment="1" applyProtection="1">
      <alignment vertical="center"/>
      <protection locked="0"/>
    </xf>
    <xf numFmtId="4" fontId="35" fillId="0" borderId="0" xfId="0" applyNumberFormat="1" applyFont="1" applyAlignment="1" applyProtection="1">
      <alignment horizontal="center" vertical="center" wrapText="1"/>
      <protection locked="0"/>
    </xf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 applyProtection="1">
      <alignment vertical="center"/>
      <protection locked="0"/>
    </xf>
    <xf numFmtId="4" fontId="36" fillId="0" borderId="49" xfId="0" applyNumberFormat="1" applyFont="1" applyBorder="1" applyAlignment="1" applyProtection="1">
      <alignment vertical="center"/>
      <protection locked="0"/>
    </xf>
    <xf numFmtId="4" fontId="41" fillId="0" borderId="25" xfId="0" applyNumberFormat="1" applyFont="1" applyBorder="1" applyAlignment="1" applyProtection="1">
      <alignment vertical="center"/>
      <protection locked="0"/>
    </xf>
    <xf numFmtId="4" fontId="40" fillId="0" borderId="18" xfId="0" applyNumberFormat="1" applyFont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4" fontId="40" fillId="41" borderId="18" xfId="0" applyNumberFormat="1" applyFont="1" applyFill="1" applyBorder="1" applyAlignment="1">
      <alignment horizontal="center" vertical="center"/>
    </xf>
    <xf numFmtId="4" fontId="36" fillId="0" borderId="47" xfId="0" applyNumberFormat="1" applyFont="1" applyBorder="1" applyAlignment="1" applyProtection="1">
      <alignment vertical="center"/>
      <protection locked="0"/>
    </xf>
    <xf numFmtId="0" fontId="34" fillId="0" borderId="0" xfId="0" applyFont="1" applyAlignment="1">
      <alignment horizontal="left" vertical="center"/>
    </xf>
    <xf numFmtId="0" fontId="34" fillId="0" borderId="0" xfId="41" applyFont="1"/>
    <xf numFmtId="0" fontId="44" fillId="0" borderId="0" xfId="0" applyFont="1" applyAlignment="1" applyProtection="1">
      <alignment horizontal="left" vertical="center" wrapText="1"/>
      <protection locked="0"/>
    </xf>
    <xf numFmtId="0" fontId="34" fillId="0" borderId="0" xfId="40" applyFont="1"/>
    <xf numFmtId="0" fontId="34" fillId="0" borderId="0" xfId="40" applyFont="1" applyAlignment="1">
      <alignment wrapText="1"/>
    </xf>
    <xf numFmtId="4" fontId="45" fillId="0" borderId="0" xfId="0" applyNumberFormat="1" applyFont="1" applyAlignment="1" applyProtection="1">
      <alignment vertical="center"/>
      <protection locked="0"/>
    </xf>
    <xf numFmtId="4" fontId="36" fillId="0" borderId="13" xfId="0" applyNumberFormat="1" applyFont="1" applyBorder="1" applyAlignment="1" applyProtection="1">
      <alignment vertical="center"/>
      <protection locked="0"/>
    </xf>
    <xf numFmtId="4" fontId="36" fillId="0" borderId="52" xfId="0" applyNumberFormat="1" applyFont="1" applyBorder="1" applyAlignment="1">
      <alignment vertical="center"/>
    </xf>
    <xf numFmtId="0" fontId="61" fillId="0" borderId="0" xfId="0" applyFont="1" applyAlignment="1">
      <alignment wrapText="1"/>
    </xf>
    <xf numFmtId="4" fontId="63" fillId="0" borderId="0" xfId="0" applyNumberFormat="1" applyFont="1" applyAlignment="1">
      <alignment vertical="center"/>
    </xf>
    <xf numFmtId="4" fontId="64" fillId="0" borderId="0" xfId="0" applyNumberFormat="1" applyFont="1" applyAlignment="1">
      <alignment vertical="center"/>
    </xf>
    <xf numFmtId="4" fontId="64" fillId="0" borderId="0" xfId="0" applyNumberFormat="1" applyFont="1" applyAlignment="1" applyProtection="1">
      <alignment vertical="center"/>
      <protection locked="0"/>
    </xf>
    <xf numFmtId="4" fontId="40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24" xfId="0" applyNumberFormat="1" applyFont="1" applyBorder="1" applyAlignment="1" applyProtection="1">
      <alignment vertical="center"/>
      <protection locked="0"/>
    </xf>
    <xf numFmtId="4" fontId="37" fillId="41" borderId="4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left" vertical="center"/>
    </xf>
    <xf numFmtId="0" fontId="39" fillId="0" borderId="0" xfId="43" applyFont="1" applyAlignment="1">
      <alignment horizontal="left" wrapText="1"/>
    </xf>
    <xf numFmtId="0" fontId="39" fillId="0" borderId="0" xfId="43" applyFont="1"/>
    <xf numFmtId="0" fontId="39" fillId="0" borderId="0" xfId="0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8" fillId="0" borderId="0" xfId="43" applyFont="1" applyAlignment="1">
      <alignment horizontal="left"/>
    </xf>
    <xf numFmtId="0" fontId="38" fillId="0" borderId="0" xfId="42" applyFont="1" applyAlignment="1">
      <alignment vertical="top" wrapText="1"/>
    </xf>
    <xf numFmtId="0" fontId="39" fillId="0" borderId="0" xfId="42" applyFont="1" applyAlignment="1">
      <alignment vertical="top"/>
    </xf>
    <xf numFmtId="0" fontId="39" fillId="0" borderId="0" xfId="42" applyFont="1" applyAlignment="1">
      <alignment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0" borderId="0" xfId="45" applyFont="1" applyAlignment="1">
      <alignment horizontal="center"/>
    </xf>
    <xf numFmtId="0" fontId="39" fillId="0" borderId="0" xfId="45" applyFont="1"/>
    <xf numFmtId="0" fontId="39" fillId="0" borderId="0" xfId="45" applyFont="1" applyAlignment="1">
      <alignment horizontal="center" vertical="top"/>
    </xf>
    <xf numFmtId="0" fontId="39" fillId="0" borderId="0" xfId="45" applyFont="1" applyAlignment="1">
      <alignment vertical="top"/>
    </xf>
    <xf numFmtId="0" fontId="38" fillId="41" borderId="18" xfId="0" applyFont="1" applyFill="1" applyBorder="1" applyAlignment="1">
      <alignment horizontal="center" vertical="center"/>
    </xf>
    <xf numFmtId="0" fontId="38" fillId="41" borderId="60" xfId="0" applyFont="1" applyFill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/>
    </xf>
    <xf numFmtId="0" fontId="38" fillId="0" borderId="73" xfId="47" applyFont="1" applyBorder="1" applyAlignment="1">
      <alignment vertical="center"/>
    </xf>
    <xf numFmtId="0" fontId="38" fillId="0" borderId="56" xfId="47" applyFont="1" applyBorder="1" applyAlignment="1">
      <alignment vertical="center"/>
    </xf>
    <xf numFmtId="0" fontId="39" fillId="0" borderId="0" xfId="47" applyFont="1"/>
    <xf numFmtId="0" fontId="38" fillId="0" borderId="0" xfId="47" applyFont="1"/>
    <xf numFmtId="0" fontId="39" fillId="0" borderId="0" xfId="47" applyFont="1" applyAlignment="1">
      <alignment vertical="top"/>
    </xf>
    <xf numFmtId="0" fontId="38" fillId="0" borderId="0" xfId="47" applyFont="1" applyAlignment="1">
      <alignment vertical="top"/>
    </xf>
    <xf numFmtId="0" fontId="38" fillId="0" borderId="0" xfId="47" applyFont="1" applyAlignment="1">
      <alignment horizontal="center" vertical="top"/>
    </xf>
    <xf numFmtId="0" fontId="39" fillId="0" borderId="0" xfId="47" applyFont="1" applyAlignment="1">
      <alignment vertical="center"/>
    </xf>
    <xf numFmtId="0" fontId="39" fillId="0" borderId="0" xfId="47" applyFont="1" applyAlignment="1">
      <alignment horizontal="left" vertical="center"/>
    </xf>
    <xf numFmtId="0" fontId="38" fillId="0" borderId="55" xfId="47" applyFont="1" applyBorder="1" applyAlignment="1">
      <alignment vertical="center"/>
    </xf>
    <xf numFmtId="0" fontId="39" fillId="0" borderId="56" xfId="47" applyFont="1" applyBorder="1" applyAlignment="1">
      <alignment vertical="center"/>
    </xf>
    <xf numFmtId="0" fontId="39" fillId="0" borderId="66" xfId="47" applyFont="1" applyBorder="1" applyAlignment="1">
      <alignment vertical="center"/>
    </xf>
    <xf numFmtId="0" fontId="39" fillId="0" borderId="86" xfId="47" applyFont="1" applyBorder="1" applyAlignment="1">
      <alignment vertical="center"/>
    </xf>
    <xf numFmtId="0" fontId="39" fillId="0" borderId="14" xfId="47" applyFont="1" applyBorder="1" applyAlignment="1">
      <alignment vertical="center"/>
    </xf>
    <xf numFmtId="0" fontId="39" fillId="0" borderId="67" xfId="47" applyFont="1" applyBorder="1" applyAlignment="1">
      <alignment vertical="center"/>
    </xf>
    <xf numFmtId="0" fontId="39" fillId="0" borderId="58" xfId="47" applyFont="1" applyBorder="1" applyAlignment="1">
      <alignment vertical="center"/>
    </xf>
    <xf numFmtId="0" fontId="39" fillId="0" borderId="53" xfId="47" applyFont="1" applyBorder="1" applyAlignment="1">
      <alignment vertical="center"/>
    </xf>
    <xf numFmtId="0" fontId="39" fillId="0" borderId="68" xfId="47" applyFont="1" applyBorder="1" applyAlignment="1">
      <alignment vertical="center"/>
    </xf>
    <xf numFmtId="0" fontId="39" fillId="0" borderId="48" xfId="47" applyFont="1" applyBorder="1" applyAlignment="1">
      <alignment vertical="center"/>
    </xf>
    <xf numFmtId="0" fontId="39" fillId="0" borderId="47" xfId="47" applyFont="1" applyBorder="1" applyAlignment="1">
      <alignment vertical="center"/>
    </xf>
    <xf numFmtId="0" fontId="39" fillId="0" borderId="52" xfId="47" applyFont="1" applyBorder="1" applyAlignment="1">
      <alignment vertical="center"/>
    </xf>
    <xf numFmtId="0" fontId="39" fillId="0" borderId="20" xfId="47" applyFont="1" applyBorder="1" applyAlignment="1">
      <alignment vertical="center"/>
    </xf>
    <xf numFmtId="0" fontId="39" fillId="0" borderId="55" xfId="47" applyFont="1" applyBorder="1" applyAlignment="1">
      <alignment vertical="center"/>
    </xf>
    <xf numFmtId="0" fontId="38" fillId="0" borderId="14" xfId="47" applyFont="1" applyBorder="1" applyAlignment="1">
      <alignment vertical="center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vertical="top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horizontal="center"/>
    </xf>
    <xf numFmtId="0" fontId="38" fillId="0" borderId="0" xfId="0" applyFont="1"/>
    <xf numFmtId="0" fontId="52" fillId="0" borderId="0" xfId="0" applyFont="1" applyAlignment="1">
      <alignment horizontal="center" vertical="center" wrapText="1"/>
    </xf>
    <xf numFmtId="0" fontId="38" fillId="41" borderId="18" xfId="0" applyFont="1" applyFill="1" applyBorder="1" applyAlignment="1">
      <alignment horizontal="center" vertical="center" wrapText="1"/>
    </xf>
    <xf numFmtId="0" fontId="38" fillId="41" borderId="19" xfId="0" applyFont="1" applyFill="1" applyBorder="1" applyAlignment="1">
      <alignment horizontal="center" vertical="center" wrapText="1"/>
    </xf>
    <xf numFmtId="0" fontId="38" fillId="41" borderId="41" xfId="0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1" xfId="0" applyFont="1" applyBorder="1" applyAlignment="1">
      <alignment vertical="center" wrapText="1"/>
    </xf>
    <xf numFmtId="0" fontId="39" fillId="0" borderId="20" xfId="0" applyFont="1" applyBorder="1" applyAlignment="1">
      <alignment vertical="center" wrapText="1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vertical="center"/>
    </xf>
    <xf numFmtId="0" fontId="39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vertical="center" wrapText="1"/>
    </xf>
    <xf numFmtId="0" fontId="38" fillId="0" borderId="18" xfId="0" applyFont="1" applyBorder="1" applyAlignment="1">
      <alignment vertical="center" wrapText="1"/>
    </xf>
    <xf numFmtId="0" fontId="38" fillId="0" borderId="18" xfId="0" applyFont="1" applyBorder="1" applyAlignment="1">
      <alignment horizontal="center" vertical="center" wrapText="1"/>
    </xf>
    <xf numFmtId="4" fontId="38" fillId="0" borderId="41" xfId="0" applyNumberFormat="1" applyFont="1" applyBorder="1" applyAlignment="1">
      <alignment horizontal="left" vertical="center"/>
    </xf>
    <xf numFmtId="4" fontId="38" fillId="0" borderId="18" xfId="0" applyNumberFormat="1" applyFont="1" applyBorder="1" applyAlignment="1">
      <alignment horizontal="right" vertical="center"/>
    </xf>
    <xf numFmtId="4" fontId="38" fillId="0" borderId="41" xfId="0" applyNumberFormat="1" applyFont="1" applyBorder="1" applyAlignment="1">
      <alignment horizontal="right" vertical="center"/>
    </xf>
    <xf numFmtId="4" fontId="38" fillId="0" borderId="19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19" xfId="0" applyFont="1" applyBorder="1" applyAlignment="1">
      <alignment vertical="center" wrapText="1"/>
    </xf>
    <xf numFmtId="0" fontId="39" fillId="0" borderId="18" xfId="0" applyFont="1" applyBorder="1" applyAlignment="1">
      <alignment vertical="center" wrapText="1"/>
    </xf>
    <xf numFmtId="4" fontId="39" fillId="0" borderId="41" xfId="0" applyNumberFormat="1" applyFont="1" applyBorder="1" applyAlignment="1">
      <alignment horizontal="right" vertical="center"/>
    </xf>
    <xf numFmtId="4" fontId="39" fillId="0" borderId="18" xfId="0" applyNumberFormat="1" applyFont="1" applyBorder="1" applyAlignment="1">
      <alignment horizontal="right" vertical="center"/>
    </xf>
    <xf numFmtId="0" fontId="39" fillId="0" borderId="18" xfId="0" applyFont="1" applyBorder="1" applyAlignment="1">
      <alignment horizontal="right" vertical="center"/>
    </xf>
    <xf numFmtId="4" fontId="39" fillId="0" borderId="19" xfId="0" applyNumberFormat="1" applyFont="1" applyBorder="1" applyAlignment="1">
      <alignment vertical="center"/>
    </xf>
    <xf numFmtId="0" fontId="39" fillId="0" borderId="16" xfId="0" applyFont="1" applyBorder="1" applyAlignment="1">
      <alignment horizontal="center" vertical="center" wrapText="1"/>
    </xf>
    <xf numFmtId="0" fontId="39" fillId="0" borderId="87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4" fontId="39" fillId="0" borderId="88" xfId="0" applyNumberFormat="1" applyFont="1" applyBorder="1" applyAlignment="1">
      <alignment horizontal="right" vertical="center"/>
    </xf>
    <xf numFmtId="4" fontId="39" fillId="0" borderId="16" xfId="0" applyNumberFormat="1" applyFont="1" applyBorder="1" applyAlignment="1">
      <alignment horizontal="right" vertical="center"/>
    </xf>
    <xf numFmtId="0" fontId="39" fillId="0" borderId="16" xfId="0" applyFont="1" applyBorder="1" applyAlignment="1">
      <alignment horizontal="right" vertical="center"/>
    </xf>
    <xf numFmtId="4" fontId="39" fillId="0" borderId="87" xfId="0" applyNumberFormat="1" applyFont="1" applyBorder="1" applyAlignment="1">
      <alignment vertical="center"/>
    </xf>
    <xf numFmtId="0" fontId="53" fillId="0" borderId="15" xfId="0" applyFont="1" applyBorder="1" applyAlignment="1">
      <alignment horizontal="center" vertical="center" wrapText="1"/>
    </xf>
    <xf numFmtId="0" fontId="53" fillId="0" borderId="87" xfId="0" applyFont="1" applyBorder="1" applyAlignment="1">
      <alignment vertical="center" wrapText="1"/>
    </xf>
    <xf numFmtId="0" fontId="53" fillId="0" borderId="16" xfId="0" applyFont="1" applyBorder="1" applyAlignment="1">
      <alignment vertical="center" wrapText="1"/>
    </xf>
    <xf numFmtId="0" fontId="53" fillId="0" borderId="89" xfId="0" applyFont="1" applyBorder="1" applyAlignment="1">
      <alignment horizontal="center" vertical="center" wrapText="1"/>
    </xf>
    <xf numFmtId="0" fontId="53" fillId="0" borderId="21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4" fontId="39" fillId="0" borderId="0" xfId="0" applyNumberFormat="1" applyFont="1" applyAlignment="1">
      <alignment horizontal="right" vertical="center"/>
    </xf>
    <xf numFmtId="4" fontId="39" fillId="0" borderId="20" xfId="0" applyNumberFormat="1" applyFont="1" applyBorder="1" applyAlignment="1">
      <alignment horizontal="right" vertical="center"/>
    </xf>
    <xf numFmtId="0" fontId="39" fillId="0" borderId="20" xfId="0" applyFont="1" applyBorder="1" applyAlignment="1">
      <alignment horizontal="right" vertical="center"/>
    </xf>
    <xf numFmtId="0" fontId="39" fillId="0" borderId="41" xfId="0" applyFont="1" applyBorder="1" applyAlignment="1">
      <alignment horizontal="right" vertical="center"/>
    </xf>
    <xf numFmtId="0" fontId="39" fillId="0" borderId="88" xfId="0" applyFont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53" fillId="0" borderId="17" xfId="0" applyFont="1" applyBorder="1" applyAlignment="1">
      <alignment horizontal="center" vertical="center" wrapText="1"/>
    </xf>
    <xf numFmtId="0" fontId="53" fillId="0" borderId="13" xfId="0" applyFont="1" applyBorder="1" applyAlignment="1">
      <alignment vertical="center" wrapText="1"/>
    </xf>
    <xf numFmtId="0" fontId="53" fillId="0" borderId="66" xfId="0" applyFont="1" applyBorder="1" applyAlignment="1">
      <alignment vertical="center" wrapText="1"/>
    </xf>
    <xf numFmtId="4" fontId="39" fillId="0" borderId="14" xfId="0" applyNumberFormat="1" applyFont="1" applyBorder="1" applyAlignment="1">
      <alignment horizontal="right" vertical="center"/>
    </xf>
    <xf numFmtId="4" fontId="39" fillId="0" borderId="66" xfId="0" applyNumberFormat="1" applyFont="1" applyBorder="1" applyAlignment="1">
      <alignment horizontal="right" vertical="center"/>
    </xf>
    <xf numFmtId="0" fontId="38" fillId="0" borderId="0" xfId="46" applyFont="1" applyAlignment="1">
      <alignment vertical="center"/>
    </xf>
    <xf numFmtId="4" fontId="39" fillId="0" borderId="0" xfId="46" applyNumberFormat="1" applyFont="1" applyAlignment="1">
      <alignment vertical="center"/>
    </xf>
    <xf numFmtId="4" fontId="39" fillId="0" borderId="0" xfId="0" applyNumberFormat="1" applyFont="1"/>
    <xf numFmtId="0" fontId="53" fillId="0" borderId="0" xfId="0" applyFont="1"/>
    <xf numFmtId="0" fontId="39" fillId="0" borderId="0" xfId="46" applyFont="1" applyAlignment="1">
      <alignment vertical="center"/>
    </xf>
    <xf numFmtId="0" fontId="54" fillId="0" borderId="0" xfId="42" applyFont="1"/>
    <xf numFmtId="4" fontId="38" fillId="0" borderId="18" xfId="0" applyNumberFormat="1" applyFont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3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39" fillId="0" borderId="0" xfId="0" applyFont="1" applyAlignment="1">
      <alignment horizontal="center" vertical="top"/>
    </xf>
    <xf numFmtId="0" fontId="38" fillId="0" borderId="67" xfId="0" applyFont="1" applyBorder="1" applyAlignment="1">
      <alignment horizontal="center" wrapText="1"/>
    </xf>
    <xf numFmtId="0" fontId="38" fillId="0" borderId="20" xfId="0" applyFont="1" applyBorder="1" applyAlignment="1">
      <alignment wrapText="1"/>
    </xf>
    <xf numFmtId="0" fontId="38" fillId="0" borderId="0" xfId="0" applyFont="1" applyAlignment="1">
      <alignment wrapText="1"/>
    </xf>
    <xf numFmtId="4" fontId="39" fillId="0" borderId="0" xfId="0" applyNumberFormat="1" applyFont="1" applyAlignment="1">
      <alignment horizontal="right"/>
    </xf>
    <xf numFmtId="4" fontId="38" fillId="0" borderId="0" xfId="0" applyNumberFormat="1" applyFont="1"/>
    <xf numFmtId="0" fontId="38" fillId="0" borderId="60" xfId="0" applyFont="1" applyBorder="1" applyAlignment="1">
      <alignment horizontal="center" wrapText="1"/>
    </xf>
    <xf numFmtId="0" fontId="38" fillId="0" borderId="18" xfId="0" applyFont="1" applyBorder="1" applyAlignment="1">
      <alignment wrapText="1"/>
    </xf>
    <xf numFmtId="0" fontId="38" fillId="0" borderId="41" xfId="0" applyFont="1" applyBorder="1" applyAlignment="1">
      <alignment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4" fontId="38" fillId="0" borderId="18" xfId="0" applyNumberFormat="1" applyFont="1" applyBorder="1" applyAlignment="1">
      <alignment horizontal="right"/>
    </xf>
    <xf numFmtId="4" fontId="38" fillId="0" borderId="0" xfId="0" applyNumberFormat="1" applyFont="1" applyAlignment="1">
      <alignment horizontal="right" vertical="center"/>
    </xf>
    <xf numFmtId="4" fontId="38" fillId="0" borderId="0" xfId="0" applyNumberFormat="1" applyFont="1" applyAlignment="1">
      <alignment horizontal="right"/>
    </xf>
    <xf numFmtId="4" fontId="38" fillId="0" borderId="0" xfId="0" applyNumberFormat="1" applyFont="1" applyAlignment="1">
      <alignment wrapText="1"/>
    </xf>
    <xf numFmtId="0" fontId="39" fillId="0" borderId="90" xfId="0" applyFont="1" applyBorder="1" applyAlignment="1">
      <alignment horizontal="center" wrapText="1"/>
    </xf>
    <xf numFmtId="0" fontId="39" fillId="0" borderId="16" xfId="0" applyFont="1" applyBorder="1" applyAlignment="1">
      <alignment wrapText="1"/>
    </xf>
    <xf numFmtId="0" fontId="39" fillId="0" borderId="88" xfId="0" applyFont="1" applyBorder="1" applyAlignment="1">
      <alignment wrapText="1"/>
    </xf>
    <xf numFmtId="4" fontId="39" fillId="0" borderId="88" xfId="0" applyNumberFormat="1" applyFont="1" applyBorder="1" applyAlignment="1">
      <alignment horizontal="right"/>
    </xf>
    <xf numFmtId="0" fontId="39" fillId="0" borderId="0" xfId="0" applyFont="1" applyAlignment="1">
      <alignment horizontal="right"/>
    </xf>
    <xf numFmtId="0" fontId="39" fillId="0" borderId="86" xfId="0" applyFont="1" applyBorder="1" applyAlignment="1">
      <alignment horizontal="center" wrapText="1"/>
    </xf>
    <xf numFmtId="0" fontId="39" fillId="0" borderId="66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4" fontId="39" fillId="0" borderId="66" xfId="0" applyNumberFormat="1" applyFont="1" applyBorder="1" applyAlignment="1">
      <alignment horizontal="right"/>
    </xf>
    <xf numFmtId="0" fontId="39" fillId="0" borderId="0" xfId="0" applyFont="1" applyAlignment="1">
      <alignment horizontal="right" vertical="center" wrapText="1"/>
    </xf>
    <xf numFmtId="4" fontId="38" fillId="0" borderId="19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justify" vertical="center"/>
    </xf>
    <xf numFmtId="4" fontId="39" fillId="0" borderId="30" xfId="0" applyNumberFormat="1" applyFont="1" applyBorder="1" applyAlignment="1">
      <alignment horizontal="center" vertical="center"/>
    </xf>
    <xf numFmtId="0" fontId="55" fillId="0" borderId="64" xfId="0" applyFont="1" applyBorder="1" applyAlignment="1">
      <alignment horizontal="center"/>
    </xf>
    <xf numFmtId="0" fontId="38" fillId="42" borderId="32" xfId="0" applyFont="1" applyFill="1" applyBorder="1" applyAlignment="1">
      <alignment horizontal="left" vertical="center"/>
    </xf>
    <xf numFmtId="0" fontId="39" fillId="0" borderId="32" xfId="0" applyFont="1" applyBorder="1" applyAlignment="1">
      <alignment vertical="center"/>
    </xf>
    <xf numFmtId="0" fontId="39" fillId="0" borderId="45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4" fontId="56" fillId="0" borderId="34" xfId="0" applyNumberFormat="1" applyFont="1" applyBorder="1" applyProtection="1">
      <protection locked="0"/>
    </xf>
    <xf numFmtId="4" fontId="39" fillId="0" borderId="34" xfId="0" applyNumberFormat="1" applyFont="1" applyBorder="1" applyProtection="1">
      <protection locked="0"/>
    </xf>
    <xf numFmtId="0" fontId="39" fillId="0" borderId="34" xfId="0" applyFont="1" applyBorder="1"/>
    <xf numFmtId="4" fontId="49" fillId="0" borderId="0" xfId="0" applyNumberFormat="1" applyFont="1"/>
    <xf numFmtId="0" fontId="39" fillId="0" borderId="0" xfId="0" applyFont="1" applyAlignment="1">
      <alignment horizontal="right" vertical="top"/>
    </xf>
    <xf numFmtId="0" fontId="38" fillId="43" borderId="91" xfId="0" applyFont="1" applyFill="1" applyBorder="1" applyAlignment="1">
      <alignment horizontal="center" vertical="center" wrapText="1"/>
    </xf>
    <xf numFmtId="0" fontId="38" fillId="43" borderId="92" xfId="0" applyFont="1" applyFill="1" applyBorder="1" applyAlignment="1">
      <alignment horizontal="center" vertical="center" wrapText="1"/>
    </xf>
    <xf numFmtId="0" fontId="48" fillId="0" borderId="94" xfId="0" applyFont="1" applyBorder="1" applyAlignment="1">
      <alignment horizontal="justify" vertical="center" wrapText="1"/>
    </xf>
    <xf numFmtId="0" fontId="39" fillId="0" borderId="94" xfId="0" applyFont="1" applyBorder="1" applyAlignment="1">
      <alignment horizontal="justify" vertical="center" wrapText="1"/>
    </xf>
    <xf numFmtId="0" fontId="39" fillId="43" borderId="94" xfId="0" applyFont="1" applyFill="1" applyBorder="1" applyAlignment="1">
      <alignment vertical="center"/>
    </xf>
    <xf numFmtId="4" fontId="38" fillId="43" borderId="94" xfId="0" applyNumberFormat="1" applyFont="1" applyFill="1" applyBorder="1" applyAlignment="1">
      <alignment vertical="center"/>
    </xf>
    <xf numFmtId="0" fontId="39" fillId="43" borderId="94" xfId="0" applyFont="1" applyFill="1" applyBorder="1" applyAlignment="1">
      <alignment vertical="center" wrapText="1"/>
    </xf>
    <xf numFmtId="4" fontId="38" fillId="43" borderId="94" xfId="0" applyNumberFormat="1" applyFont="1" applyFill="1" applyBorder="1" applyAlignment="1">
      <alignment vertical="center" wrapText="1"/>
    </xf>
    <xf numFmtId="0" fontId="39" fillId="0" borderId="0" xfId="43" applyFont="1" applyAlignment="1">
      <alignment wrapText="1"/>
    </xf>
    <xf numFmtId="0" fontId="39" fillId="0" borderId="32" xfId="46" applyFont="1" applyBorder="1" applyAlignment="1">
      <alignment horizontal="center" vertical="center"/>
    </xf>
    <xf numFmtId="0" fontId="47" fillId="0" borderId="0" xfId="0" applyFont="1"/>
    <xf numFmtId="0" fontId="39" fillId="0" borderId="33" xfId="46" applyFont="1" applyBorder="1" applyAlignment="1">
      <alignment horizontal="center" vertical="center"/>
    </xf>
    <xf numFmtId="4" fontId="53" fillId="0" borderId="0" xfId="46" applyNumberFormat="1" applyFont="1" applyAlignment="1">
      <alignment vertical="center"/>
    </xf>
    <xf numFmtId="4" fontId="58" fillId="0" borderId="0" xfId="0" applyNumberFormat="1" applyFont="1"/>
    <xf numFmtId="0" fontId="49" fillId="0" borderId="0" xfId="0" applyFont="1"/>
    <xf numFmtId="0" fontId="38" fillId="0" borderId="0" xfId="0" applyFont="1" applyAlignment="1">
      <alignment horizontal="center" vertical="top"/>
    </xf>
    <xf numFmtId="0" fontId="38" fillId="0" borderId="14" xfId="0" applyFont="1" applyBorder="1" applyAlignment="1">
      <alignment horizontal="center" vertical="center" wrapText="1"/>
    </xf>
    <xf numFmtId="0" fontId="38" fillId="41" borderId="19" xfId="0" applyFont="1" applyFill="1" applyBorder="1" applyAlignment="1">
      <alignment horizontal="center" vertical="center"/>
    </xf>
    <xf numFmtId="0" fontId="39" fillId="0" borderId="66" xfId="0" applyFont="1" applyBorder="1" applyAlignment="1">
      <alignment horizontal="justify" vertical="center"/>
    </xf>
    <xf numFmtId="0" fontId="39" fillId="0" borderId="13" xfId="0" applyFont="1" applyBorder="1" applyAlignment="1">
      <alignment horizontal="justify" vertical="center"/>
    </xf>
    <xf numFmtId="0" fontId="39" fillId="0" borderId="18" xfId="0" applyFont="1" applyBorder="1" applyAlignment="1">
      <alignment horizontal="justify" vertical="center"/>
    </xf>
    <xf numFmtId="0" fontId="39" fillId="0" borderId="19" xfId="0" applyFont="1" applyBorder="1" applyAlignment="1">
      <alignment horizontal="justify" vertical="center"/>
    </xf>
    <xf numFmtId="0" fontId="35" fillId="44" borderId="22" xfId="40" applyFont="1" applyFill="1" applyBorder="1" applyAlignment="1">
      <alignment vertical="center" wrapText="1"/>
    </xf>
    <xf numFmtId="4" fontId="35" fillId="44" borderId="19" xfId="0" applyNumberFormat="1" applyFont="1" applyFill="1" applyBorder="1" applyAlignment="1">
      <alignment horizontal="center" vertical="center" wrapText="1"/>
    </xf>
    <xf numFmtId="0" fontId="35" fillId="0" borderId="22" xfId="40" applyFont="1" applyBorder="1" applyAlignment="1">
      <alignment vertical="center" wrapText="1"/>
    </xf>
    <xf numFmtId="4" fontId="35" fillId="0" borderId="18" xfId="0" applyNumberFormat="1" applyFont="1" applyBorder="1" applyAlignment="1">
      <alignment horizontal="left" vertical="center" wrapText="1"/>
    </xf>
    <xf numFmtId="4" fontId="35" fillId="0" borderId="50" xfId="0" applyNumberFormat="1" applyFont="1" applyBorder="1" applyAlignment="1">
      <alignment horizontal="right" vertical="center" wrapText="1"/>
    </xf>
    <xf numFmtId="4" fontId="35" fillId="0" borderId="18" xfId="0" applyNumberFormat="1" applyFont="1" applyBorder="1" applyAlignment="1">
      <alignment horizontal="right" vertical="center" wrapText="1"/>
    </xf>
    <xf numFmtId="4" fontId="35" fillId="0" borderId="50" xfId="0" applyNumberFormat="1" applyFont="1" applyBorder="1" applyAlignment="1" applyProtection="1">
      <alignment horizontal="right" vertical="center" wrapText="1"/>
      <protection locked="0"/>
    </xf>
    <xf numFmtId="4" fontId="35" fillId="0" borderId="71" xfId="0" applyNumberFormat="1" applyFont="1" applyBorder="1" applyAlignment="1" applyProtection="1">
      <alignment horizontal="right" vertical="center" wrapText="1"/>
      <protection locked="0"/>
    </xf>
    <xf numFmtId="4" fontId="35" fillId="0" borderId="19" xfId="0" applyNumberFormat="1" applyFont="1" applyBorder="1" applyAlignment="1" applyProtection="1">
      <alignment horizontal="right" vertical="center" wrapText="1"/>
      <protection locked="0"/>
    </xf>
    <xf numFmtId="4" fontId="35" fillId="0" borderId="18" xfId="0" applyNumberFormat="1" applyFont="1" applyBorder="1" applyAlignment="1" applyProtection="1">
      <alignment horizontal="right" vertical="center" wrapText="1"/>
      <protection locked="0"/>
    </xf>
    <xf numFmtId="4" fontId="35" fillId="0" borderId="72" xfId="0" applyNumberFormat="1" applyFont="1" applyBorder="1" applyAlignment="1" applyProtection="1">
      <alignment horizontal="right" vertical="center" wrapText="1"/>
      <protection locked="0"/>
    </xf>
    <xf numFmtId="4" fontId="35" fillId="0" borderId="18" xfId="0" applyNumberFormat="1" applyFont="1" applyBorder="1" applyAlignment="1" applyProtection="1">
      <alignment vertical="center" wrapText="1"/>
      <protection locked="0"/>
    </xf>
    <xf numFmtId="4" fontId="36" fillId="0" borderId="29" xfId="0" applyNumberFormat="1" applyFont="1" applyBorder="1" applyAlignment="1" applyProtection="1">
      <alignment horizontal="right" vertical="center" wrapText="1"/>
      <protection locked="0"/>
    </xf>
    <xf numFmtId="4" fontId="36" fillId="0" borderId="31" xfId="0" applyNumberFormat="1" applyFont="1" applyBorder="1" applyAlignment="1" applyProtection="1">
      <alignment horizontal="right" vertical="center" wrapText="1"/>
      <protection locked="0"/>
    </xf>
    <xf numFmtId="4" fontId="36" fillId="0" borderId="95" xfId="0" applyNumberFormat="1" applyFont="1" applyBorder="1" applyAlignment="1" applyProtection="1">
      <alignment horizontal="right" vertical="center" wrapText="1"/>
      <protection locked="0"/>
    </xf>
    <xf numFmtId="4" fontId="36" fillId="0" borderId="52" xfId="0" applyNumberFormat="1" applyFont="1" applyBorder="1" applyAlignment="1" applyProtection="1">
      <alignment horizontal="right" vertical="center" wrapText="1"/>
      <protection locked="0"/>
    </xf>
    <xf numFmtId="4" fontId="36" fillId="0" borderId="32" xfId="0" applyNumberFormat="1" applyFont="1" applyBorder="1" applyAlignment="1" applyProtection="1">
      <alignment horizontal="right" vertical="center" wrapText="1"/>
      <protection locked="0"/>
    </xf>
    <xf numFmtId="4" fontId="36" fillId="0" borderId="25" xfId="0" applyNumberFormat="1" applyFont="1" applyBorder="1" applyAlignment="1" applyProtection="1">
      <alignment horizontal="right" vertical="center" wrapText="1"/>
      <protection locked="0"/>
    </xf>
    <xf numFmtId="4" fontId="36" fillId="0" borderId="28" xfId="0" applyNumberFormat="1" applyFont="1" applyBorder="1" applyAlignment="1" applyProtection="1">
      <alignment horizontal="right" vertical="center" wrapText="1"/>
      <protection locked="0"/>
    </xf>
    <xf numFmtId="4" fontId="34" fillId="0" borderId="24" xfId="0" applyNumberFormat="1" applyFont="1" applyBorder="1" applyAlignment="1" applyProtection="1">
      <alignment horizontal="left" vertical="center" wrapText="1"/>
      <protection locked="0"/>
    </xf>
    <xf numFmtId="4" fontId="34" fillId="0" borderId="24" xfId="0" applyNumberFormat="1" applyFont="1" applyBorder="1" applyAlignment="1" applyProtection="1">
      <alignment vertical="center" wrapText="1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34" fillId="0" borderId="67" xfId="0" applyNumberFormat="1" applyFont="1" applyBorder="1" applyAlignment="1" applyProtection="1">
      <alignment vertical="center"/>
      <protection locked="0"/>
    </xf>
    <xf numFmtId="4" fontId="37" fillId="0" borderId="24" xfId="0" applyNumberFormat="1" applyFont="1" applyBorder="1" applyAlignment="1">
      <alignment vertical="center"/>
    </xf>
    <xf numFmtId="4" fontId="37" fillId="0" borderId="23" xfId="0" applyNumberFormat="1" applyFont="1" applyBorder="1" applyAlignment="1">
      <alignment vertical="center"/>
    </xf>
    <xf numFmtId="0" fontId="62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66" fillId="47" borderId="38" xfId="0" applyFont="1" applyFill="1" applyBorder="1" applyAlignment="1">
      <alignment vertical="center"/>
    </xf>
    <xf numFmtId="4" fontId="66" fillId="47" borderId="36" xfId="0" applyNumberFormat="1" applyFont="1" applyFill="1" applyBorder="1" applyAlignment="1">
      <alignment horizontal="right" vertical="center"/>
    </xf>
    <xf numFmtId="0" fontId="39" fillId="47" borderId="0" xfId="0" applyFont="1" applyFill="1" applyAlignment="1">
      <alignment horizontal="center" vertical="center"/>
    </xf>
    <xf numFmtId="0" fontId="39" fillId="47" borderId="56" xfId="0" applyFont="1" applyFill="1" applyBorder="1" applyAlignment="1">
      <alignment horizontal="center" vertical="center"/>
    </xf>
    <xf numFmtId="0" fontId="65" fillId="46" borderId="32" xfId="0" applyFont="1" applyFill="1" applyBorder="1" applyAlignment="1">
      <alignment vertical="center" wrapText="1"/>
    </xf>
    <xf numFmtId="4" fontId="65" fillId="47" borderId="11" xfId="0" applyNumberFormat="1" applyFont="1" applyFill="1" applyBorder="1" applyAlignment="1">
      <alignment horizontal="center" vertical="center" wrapText="1"/>
    </xf>
    <xf numFmtId="14" fontId="65" fillId="47" borderId="11" xfId="0" applyNumberFormat="1" applyFont="1" applyFill="1" applyBorder="1" applyAlignment="1">
      <alignment horizontal="center" vertical="center" wrapText="1"/>
    </xf>
    <xf numFmtId="167" fontId="65" fillId="47" borderId="11" xfId="0" applyNumberFormat="1" applyFont="1" applyFill="1" applyBorder="1" applyAlignment="1">
      <alignment horizontal="center" vertical="center" wrapText="1"/>
    </xf>
    <xf numFmtId="14" fontId="65" fillId="47" borderId="63" xfId="0" applyNumberFormat="1" applyFont="1" applyFill="1" applyBorder="1" applyAlignment="1">
      <alignment horizontal="center" vertical="center" wrapText="1"/>
    </xf>
    <xf numFmtId="0" fontId="65" fillId="47" borderId="32" xfId="0" applyFont="1" applyFill="1" applyBorder="1" applyAlignment="1">
      <alignment vertical="center" wrapText="1"/>
    </xf>
    <xf numFmtId="0" fontId="65" fillId="47" borderId="11" xfId="0" applyFont="1" applyFill="1" applyBorder="1" applyAlignment="1">
      <alignment horizontal="center" vertical="center"/>
    </xf>
    <xf numFmtId="0" fontId="65" fillId="47" borderId="11" xfId="0" applyFont="1" applyFill="1" applyBorder="1" applyAlignment="1">
      <alignment horizontal="center" vertical="center" wrapText="1"/>
    </xf>
    <xf numFmtId="0" fontId="65" fillId="47" borderId="63" xfId="0" applyFont="1" applyFill="1" applyBorder="1" applyAlignment="1">
      <alignment horizontal="center" vertical="center"/>
    </xf>
    <xf numFmtId="0" fontId="65" fillId="47" borderId="32" xfId="0" applyFont="1" applyFill="1" applyBorder="1" applyAlignment="1">
      <alignment vertical="center"/>
    </xf>
    <xf numFmtId="0" fontId="67" fillId="47" borderId="32" xfId="0" applyFont="1" applyFill="1" applyBorder="1" applyAlignment="1">
      <alignment vertical="center"/>
    </xf>
    <xf numFmtId="0" fontId="67" fillId="47" borderId="11" xfId="0" applyFont="1" applyFill="1" applyBorder="1" applyAlignment="1">
      <alignment horizontal="center" vertical="center"/>
    </xf>
    <xf numFmtId="0" fontId="67" fillId="47" borderId="63" xfId="0" applyFont="1" applyFill="1" applyBorder="1" applyAlignment="1">
      <alignment horizontal="center" vertical="center"/>
    </xf>
    <xf numFmtId="0" fontId="65" fillId="47" borderId="59" xfId="0" applyFont="1" applyFill="1" applyBorder="1" applyAlignment="1">
      <alignment vertical="center" wrapText="1"/>
    </xf>
    <xf numFmtId="4" fontId="65" fillId="47" borderId="11" xfId="0" applyNumberFormat="1" applyFont="1" applyFill="1" applyBorder="1" applyAlignment="1">
      <alignment horizontal="center" vertical="center"/>
    </xf>
    <xf numFmtId="0" fontId="65" fillId="47" borderId="63" xfId="0" applyFont="1" applyFill="1" applyBorder="1" applyAlignment="1">
      <alignment horizontal="center" vertical="center" wrapText="1"/>
    </xf>
    <xf numFmtId="0" fontId="67" fillId="47" borderId="33" xfId="0" applyFont="1" applyFill="1" applyBorder="1" applyAlignment="1">
      <alignment vertical="center"/>
    </xf>
    <xf numFmtId="0" fontId="67" fillId="47" borderId="34" xfId="0" applyFont="1" applyFill="1" applyBorder="1" applyAlignment="1">
      <alignment horizontal="center" vertical="center"/>
    </xf>
    <xf numFmtId="0" fontId="67" fillId="47" borderId="40" xfId="0" applyFont="1" applyFill="1" applyBorder="1" applyAlignment="1">
      <alignment horizontal="center" vertical="center"/>
    </xf>
    <xf numFmtId="0" fontId="59" fillId="0" borderId="0" xfId="0" applyFont="1"/>
    <xf numFmtId="0" fontId="68" fillId="0" borderId="0" xfId="0" applyFont="1"/>
    <xf numFmtId="0" fontId="69" fillId="0" borderId="0" xfId="0" applyFont="1" applyAlignment="1">
      <alignment vertical="center"/>
    </xf>
    <xf numFmtId="0" fontId="69" fillId="0" borderId="0" xfId="0" applyFont="1" applyAlignment="1">
      <alignment horizontal="center" vertical="center" wrapText="1"/>
    </xf>
    <xf numFmtId="4" fontId="70" fillId="0" borderId="0" xfId="0" applyNumberFormat="1" applyFont="1" applyAlignment="1">
      <alignment vertical="center"/>
    </xf>
    <xf numFmtId="4" fontId="69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70" fillId="0" borderId="52" xfId="0" applyNumberFormat="1" applyFont="1" applyBorder="1" applyAlignment="1" applyProtection="1">
      <alignment horizontal="right" vertical="center" wrapText="1"/>
      <protection locked="0"/>
    </xf>
    <xf numFmtId="4" fontId="70" fillId="0" borderId="24" xfId="0" applyNumberFormat="1" applyFont="1" applyBorder="1" applyAlignment="1" applyProtection="1">
      <alignment horizontal="right" vertical="center" wrapText="1"/>
      <protection locked="0"/>
    </xf>
    <xf numFmtId="4" fontId="70" fillId="0" borderId="26" xfId="0" applyNumberFormat="1" applyFont="1" applyBorder="1" applyAlignment="1" applyProtection="1">
      <alignment horizontal="right" vertical="center" wrapText="1"/>
      <protection locked="0"/>
    </xf>
    <xf numFmtId="4" fontId="71" fillId="41" borderId="19" xfId="0" applyNumberFormat="1" applyFont="1" applyFill="1" applyBorder="1" applyAlignment="1">
      <alignment horizontal="right" vertical="center" wrapText="1"/>
    </xf>
    <xf numFmtId="0" fontId="35" fillId="44" borderId="18" xfId="40" applyFont="1" applyFill="1" applyBorder="1" applyAlignment="1">
      <alignment vertical="center" wrapText="1"/>
    </xf>
    <xf numFmtId="4" fontId="35" fillId="0" borderId="38" xfId="0" applyNumberFormat="1" applyFont="1" applyBorder="1" applyAlignment="1" applyProtection="1">
      <alignment horizontal="right" vertical="center" wrapText="1"/>
      <protection locked="0"/>
    </xf>
    <xf numFmtId="4" fontId="35" fillId="0" borderId="37" xfId="0" applyNumberFormat="1" applyFont="1" applyBorder="1" applyAlignment="1" applyProtection="1">
      <alignment horizontal="right" vertical="center" wrapText="1"/>
      <protection locked="0"/>
    </xf>
    <xf numFmtId="4" fontId="35" fillId="0" borderId="13" xfId="0" applyNumberFormat="1" applyFont="1" applyBorder="1" applyAlignment="1" applyProtection="1">
      <alignment horizontal="right" vertical="center" wrapText="1"/>
      <protection locked="0"/>
    </xf>
    <xf numFmtId="4" fontId="35" fillId="0" borderId="39" xfId="0" applyNumberFormat="1" applyFont="1" applyBorder="1" applyAlignment="1" applyProtection="1">
      <alignment horizontal="right" vertical="center" wrapText="1"/>
      <protection locked="0"/>
    </xf>
    <xf numFmtId="4" fontId="35" fillId="0" borderId="61" xfId="0" applyNumberFormat="1" applyFont="1" applyBorder="1" applyAlignment="1" applyProtection="1">
      <alignment horizontal="right" vertical="center" wrapText="1"/>
      <protection locked="0"/>
    </xf>
    <xf numFmtId="4" fontId="35" fillId="0" borderId="23" xfId="0" applyNumberFormat="1" applyFont="1" applyBorder="1" applyAlignment="1" applyProtection="1">
      <alignment horizontal="right" vertical="center" wrapText="1"/>
      <protection locked="0"/>
    </xf>
    <xf numFmtId="4" fontId="34" fillId="0" borderId="66" xfId="0" applyNumberFormat="1" applyFont="1" applyBorder="1" applyAlignment="1" applyProtection="1">
      <alignment vertical="center" wrapText="1"/>
      <protection locked="0"/>
    </xf>
    <xf numFmtId="4" fontId="34" fillId="0" borderId="22" xfId="0" applyNumberFormat="1" applyFont="1" applyBorder="1" applyAlignment="1" applyProtection="1">
      <alignment vertical="center" wrapText="1"/>
      <protection locked="0"/>
    </xf>
    <xf numFmtId="4" fontId="35" fillId="0" borderId="66" xfId="0" applyNumberFormat="1" applyFont="1" applyBorder="1" applyAlignment="1" applyProtection="1">
      <alignment horizontal="right" vertical="center" wrapText="1"/>
      <protection locked="0"/>
    </xf>
    <xf numFmtId="4" fontId="35" fillId="0" borderId="35" xfId="0" applyNumberFormat="1" applyFont="1" applyBorder="1" applyAlignment="1" applyProtection="1">
      <alignment horizontal="right" vertical="center" wrapText="1"/>
      <protection locked="0"/>
    </xf>
    <xf numFmtId="4" fontId="35" fillId="0" borderId="22" xfId="0" applyNumberFormat="1" applyFont="1" applyBorder="1" applyAlignment="1" applyProtection="1">
      <alignment horizontal="right" vertical="center" wrapText="1"/>
      <protection locked="0"/>
    </xf>
    <xf numFmtId="4" fontId="35" fillId="0" borderId="96" xfId="0" applyNumberFormat="1" applyFont="1" applyBorder="1" applyAlignment="1" applyProtection="1">
      <alignment horizontal="right" vertical="center" wrapText="1"/>
      <protection locked="0"/>
    </xf>
    <xf numFmtId="0" fontId="38" fillId="0" borderId="0" xfId="0" applyFont="1" applyAlignment="1">
      <alignment horizontal="left" vertical="top" wrapText="1"/>
    </xf>
    <xf numFmtId="49" fontId="39" fillId="0" borderId="44" xfId="0" applyNumberFormat="1" applyFont="1" applyBorder="1" applyAlignment="1">
      <alignment horizontal="left" vertical="center" wrapText="1"/>
    </xf>
    <xf numFmtId="49" fontId="39" fillId="0" borderId="34" xfId="0" applyNumberFormat="1" applyFont="1" applyBorder="1" applyAlignment="1">
      <alignment horizontal="left" vertical="center" wrapText="1"/>
    </xf>
    <xf numFmtId="49" fontId="38" fillId="42" borderId="44" xfId="0" applyNumberFormat="1" applyFont="1" applyFill="1" applyBorder="1" applyAlignment="1">
      <alignment horizontal="left" vertical="center"/>
    </xf>
    <xf numFmtId="49" fontId="39" fillId="0" borderId="43" xfId="0" applyNumberFormat="1" applyFont="1" applyBorder="1" applyAlignment="1">
      <alignment horizontal="left" vertical="center" wrapText="1"/>
    </xf>
    <xf numFmtId="0" fontId="39" fillId="0" borderId="29" xfId="0" applyFont="1" applyBorder="1"/>
    <xf numFmtId="0" fontId="39" fillId="0" borderId="30" xfId="0" applyFont="1" applyBorder="1"/>
    <xf numFmtId="0" fontId="62" fillId="47" borderId="59" xfId="0" applyFont="1" applyFill="1" applyBorder="1" applyAlignment="1">
      <alignment horizontal="left" vertical="center"/>
    </xf>
    <xf numFmtId="0" fontId="62" fillId="47" borderId="44" xfId="0" applyFont="1" applyFill="1" applyBorder="1" applyAlignment="1">
      <alignment horizontal="left" vertical="center"/>
    </xf>
    <xf numFmtId="0" fontId="62" fillId="47" borderId="25" xfId="0" applyFont="1" applyFill="1" applyBorder="1" applyAlignment="1">
      <alignment horizontal="left" vertical="center"/>
    </xf>
    <xf numFmtId="0" fontId="69" fillId="0" borderId="0" xfId="0" applyFont="1" applyAlignment="1">
      <alignment horizontal="left" vertical="top"/>
    </xf>
    <xf numFmtId="0" fontId="69" fillId="0" borderId="0" xfId="0" applyFont="1" applyAlignment="1">
      <alignment horizontal="left" vertical="center"/>
    </xf>
    <xf numFmtId="4" fontId="71" fillId="44" borderId="60" xfId="0" applyNumberFormat="1" applyFont="1" applyFill="1" applyBorder="1" applyAlignment="1" applyProtection="1">
      <alignment vertical="center" wrapText="1"/>
      <protection locked="0"/>
    </xf>
    <xf numFmtId="4" fontId="70" fillId="0" borderId="57" xfId="0" applyNumberFormat="1" applyFont="1" applyBorder="1" applyAlignment="1" applyProtection="1">
      <alignment vertical="center" wrapText="1"/>
      <protection locked="0"/>
    </xf>
    <xf numFmtId="4" fontId="70" fillId="0" borderId="59" xfId="0" applyNumberFormat="1" applyFont="1" applyBorder="1" applyAlignment="1" applyProtection="1">
      <alignment vertical="center" wrapText="1"/>
      <protection locked="0"/>
    </xf>
    <xf numFmtId="4" fontId="70" fillId="0" borderId="74" xfId="0" applyNumberFormat="1" applyFont="1" applyBorder="1" applyAlignment="1" applyProtection="1">
      <alignment vertical="center" wrapText="1"/>
      <protection locked="0"/>
    </xf>
    <xf numFmtId="0" fontId="39" fillId="41" borderId="55" xfId="47" applyFont="1" applyFill="1" applyBorder="1" applyAlignment="1">
      <alignment horizontal="center" vertical="center"/>
    </xf>
    <xf numFmtId="0" fontId="38" fillId="41" borderId="66" xfId="47" applyFont="1" applyFill="1" applyBorder="1" applyAlignment="1">
      <alignment horizontal="center" vertical="center"/>
    </xf>
    <xf numFmtId="0" fontId="38" fillId="41" borderId="55" xfId="47" applyFont="1" applyFill="1" applyBorder="1" applyAlignment="1">
      <alignment horizontal="center" vertical="center"/>
    </xf>
    <xf numFmtId="0" fontId="38" fillId="0" borderId="0" xfId="42" applyFont="1" applyAlignment="1">
      <alignment horizontal="left" vertical="top"/>
    </xf>
    <xf numFmtId="0" fontId="62" fillId="47" borderId="57" xfId="0" applyFont="1" applyFill="1" applyBorder="1" applyAlignment="1">
      <alignment horizontal="left" vertical="center"/>
    </xf>
    <xf numFmtId="0" fontId="62" fillId="47" borderId="42" xfId="0" applyFont="1" applyFill="1" applyBorder="1" applyAlignment="1">
      <alignment horizontal="left" vertical="center"/>
    </xf>
    <xf numFmtId="0" fontId="62" fillId="47" borderId="23" xfId="0" applyFont="1" applyFill="1" applyBorder="1" applyAlignment="1">
      <alignment horizontal="left" vertical="center"/>
    </xf>
    <xf numFmtId="4" fontId="69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71" fillId="41" borderId="18" xfId="0" applyNumberFormat="1" applyFont="1" applyFill="1" applyBorder="1" applyAlignment="1">
      <alignment horizontal="right" vertical="center" wrapText="1"/>
    </xf>
    <xf numFmtId="4" fontId="75" fillId="0" borderId="0" xfId="0" applyNumberFormat="1" applyFont="1" applyAlignment="1">
      <alignment horizontal="left"/>
    </xf>
    <xf numFmtId="4" fontId="75" fillId="0" borderId="0" xfId="0" applyNumberFormat="1" applyFont="1" applyAlignment="1">
      <alignment horizontal="left" vertical="top"/>
    </xf>
    <xf numFmtId="4" fontId="77" fillId="0" borderId="0" xfId="0" applyNumberFormat="1" applyFont="1" applyAlignment="1">
      <alignment vertical="top"/>
    </xf>
    <xf numFmtId="0" fontId="79" fillId="0" borderId="14" xfId="0" applyFont="1" applyBorder="1" applyAlignment="1">
      <alignment horizontal="center" wrapText="1"/>
    </xf>
    <xf numFmtId="4" fontId="77" fillId="0" borderId="0" xfId="0" applyNumberFormat="1" applyFont="1" applyAlignment="1">
      <alignment vertical="center"/>
    </xf>
    <xf numFmtId="0" fontId="84" fillId="0" borderId="0" xfId="40" applyFont="1" applyAlignment="1">
      <alignment vertical="center" wrapText="1"/>
    </xf>
    <xf numFmtId="0" fontId="84" fillId="0" borderId="0" xfId="40" applyFont="1" applyAlignment="1">
      <alignment vertical="center"/>
    </xf>
    <xf numFmtId="0" fontId="85" fillId="44" borderId="18" xfId="40" applyFont="1" applyFill="1" applyBorder="1" applyAlignment="1">
      <alignment horizontal="center" vertical="center" wrapText="1"/>
    </xf>
    <xf numFmtId="4" fontId="85" fillId="44" borderId="18" xfId="40" applyNumberFormat="1" applyFont="1" applyFill="1" applyBorder="1" applyAlignment="1">
      <alignment horizontal="center" vertical="center" wrapText="1"/>
    </xf>
    <xf numFmtId="0" fontId="85" fillId="44" borderId="19" xfId="40" applyFont="1" applyFill="1" applyBorder="1" applyAlignment="1">
      <alignment horizontal="center" vertical="center" wrapText="1"/>
    </xf>
    <xf numFmtId="0" fontId="85" fillId="0" borderId="20" xfId="40" applyFont="1" applyBorder="1" applyAlignment="1">
      <alignment horizontal="center" vertical="center"/>
    </xf>
    <xf numFmtId="4" fontId="85" fillId="0" borderId="20" xfId="40" applyNumberFormat="1" applyFont="1" applyBorder="1" applyAlignment="1">
      <alignment horizontal="center" vertical="center" wrapText="1"/>
    </xf>
    <xf numFmtId="0" fontId="85" fillId="0" borderId="21" xfId="40" applyFont="1" applyBorder="1" applyAlignment="1">
      <alignment horizontal="center" vertical="center" wrapText="1"/>
    </xf>
    <xf numFmtId="0" fontId="85" fillId="44" borderId="22" xfId="40" applyFont="1" applyFill="1" applyBorder="1" applyAlignment="1">
      <alignment vertical="center" wrapText="1"/>
    </xf>
    <xf numFmtId="4" fontId="85" fillId="44" borderId="22" xfId="40" applyNumberFormat="1" applyFont="1" applyFill="1" applyBorder="1" applyAlignment="1">
      <alignment vertical="center"/>
    </xf>
    <xf numFmtId="4" fontId="85" fillId="44" borderId="23" xfId="40" applyNumberFormat="1" applyFont="1" applyFill="1" applyBorder="1" applyAlignment="1">
      <alignment vertical="center"/>
    </xf>
    <xf numFmtId="4" fontId="76" fillId="0" borderId="0" xfId="0" applyNumberFormat="1" applyFont="1" applyAlignment="1">
      <alignment horizontal="right" wrapText="1"/>
    </xf>
    <xf numFmtId="4" fontId="76" fillId="0" borderId="0" xfId="0" applyNumberFormat="1" applyFont="1" applyAlignment="1">
      <alignment vertical="center" wrapText="1"/>
    </xf>
    <xf numFmtId="0" fontId="85" fillId="0" borderId="24" xfId="40" applyFont="1" applyBorder="1" applyAlignment="1">
      <alignment vertical="center" wrapText="1"/>
    </xf>
    <xf numFmtId="4" fontId="85" fillId="0" borderId="24" xfId="40" applyNumberFormat="1" applyFont="1" applyBorder="1" applyAlignment="1">
      <alignment vertical="center"/>
    </xf>
    <xf numFmtId="4" fontId="85" fillId="0" borderId="25" xfId="40" applyNumberFormat="1" applyFont="1" applyBorder="1" applyAlignment="1">
      <alignment vertical="center"/>
    </xf>
    <xf numFmtId="0" fontId="84" fillId="0" borderId="75" xfId="40" applyFont="1" applyBorder="1" applyAlignment="1">
      <alignment vertical="center" wrapText="1"/>
    </xf>
    <xf numFmtId="4" fontId="84" fillId="0" borderId="75" xfId="40" applyNumberFormat="1" applyFont="1" applyBorder="1" applyAlignment="1" applyProtection="1">
      <alignment vertical="center"/>
      <protection locked="0"/>
    </xf>
    <xf numFmtId="4" fontId="84" fillId="0" borderId="76" xfId="40" applyNumberFormat="1" applyFont="1" applyBorder="1" applyAlignment="1">
      <alignment vertical="center"/>
    </xf>
    <xf numFmtId="0" fontId="84" fillId="0" borderId="75" xfId="40" quotePrefix="1" applyFont="1" applyBorder="1" applyAlignment="1" applyProtection="1">
      <alignment vertical="center" wrapText="1"/>
      <protection locked="0"/>
    </xf>
    <xf numFmtId="0" fontId="85" fillId="44" borderId="26" xfId="40" applyFont="1" applyFill="1" applyBorder="1" applyAlignment="1">
      <alignment vertical="center" wrapText="1"/>
    </xf>
    <xf numFmtId="4" fontId="85" fillId="44" borderId="26" xfId="40" applyNumberFormat="1" applyFont="1" applyFill="1" applyBorder="1" applyAlignment="1">
      <alignment vertical="center"/>
    </xf>
    <xf numFmtId="4" fontId="85" fillId="44" borderId="27" xfId="40" applyNumberFormat="1" applyFont="1" applyFill="1" applyBorder="1" applyAlignment="1">
      <alignment vertical="center"/>
    </xf>
    <xf numFmtId="0" fontId="85" fillId="0" borderId="67" xfId="40" applyFont="1" applyBorder="1" applyAlignment="1">
      <alignment horizontal="centerContinuous" vertical="center"/>
    </xf>
    <xf numFmtId="0" fontId="84" fillId="0" borderId="21" xfId="40" applyFont="1" applyBorder="1" applyAlignment="1">
      <alignment vertical="center"/>
    </xf>
    <xf numFmtId="4" fontId="86" fillId="0" borderId="24" xfId="40" applyNumberFormat="1" applyFont="1" applyBorder="1" applyAlignment="1">
      <alignment vertical="center"/>
    </xf>
    <xf numFmtId="4" fontId="39" fillId="0" borderId="11" xfId="0" applyNumberFormat="1" applyFont="1" applyBorder="1" applyAlignment="1">
      <alignment horizontal="center" vertical="center" wrapText="1"/>
    </xf>
    <xf numFmtId="0" fontId="87" fillId="0" borderId="0" xfId="40" applyFont="1"/>
    <xf numFmtId="0" fontId="5" fillId="0" borderId="0" xfId="40"/>
    <xf numFmtId="0" fontId="5" fillId="42" borderId="0" xfId="40" applyFill="1"/>
    <xf numFmtId="0" fontId="89" fillId="0" borderId="73" xfId="40" applyFont="1" applyBorder="1" applyProtection="1">
      <protection locked="0" hidden="1"/>
    </xf>
    <xf numFmtId="0" fontId="5" fillId="42" borderId="69" xfId="40" applyFill="1" applyBorder="1" applyProtection="1">
      <protection locked="0" hidden="1"/>
    </xf>
    <xf numFmtId="0" fontId="89" fillId="0" borderId="67" xfId="40" applyFont="1" applyBorder="1" applyProtection="1">
      <protection locked="0" hidden="1"/>
    </xf>
    <xf numFmtId="0" fontId="88" fillId="42" borderId="21" xfId="40" applyFont="1" applyFill="1" applyBorder="1" applyProtection="1">
      <protection locked="0" hidden="1"/>
    </xf>
    <xf numFmtId="0" fontId="88" fillId="0" borderId="67" xfId="40" applyFont="1" applyBorder="1" applyProtection="1">
      <protection locked="0" hidden="1"/>
    </xf>
    <xf numFmtId="0" fontId="91" fillId="0" borderId="67" xfId="40" applyFont="1" applyBorder="1" applyProtection="1">
      <protection locked="0" hidden="1"/>
    </xf>
    <xf numFmtId="0" fontId="93" fillId="42" borderId="31" xfId="40" applyFont="1" applyFill="1" applyBorder="1" applyProtection="1">
      <protection locked="0" hidden="1"/>
    </xf>
    <xf numFmtId="0" fontId="88" fillId="0" borderId="58" xfId="40" applyFont="1" applyBorder="1"/>
    <xf numFmtId="0" fontId="93" fillId="42" borderId="21" xfId="40" applyFont="1" applyFill="1" applyBorder="1" applyProtection="1">
      <protection locked="0" hidden="1"/>
    </xf>
    <xf numFmtId="0" fontId="5" fillId="42" borderId="0" xfId="40" applyFill="1" applyProtection="1">
      <protection locked="0" hidden="1"/>
    </xf>
    <xf numFmtId="0" fontId="5" fillId="42" borderId="21" xfId="40" applyFill="1" applyBorder="1" applyProtection="1">
      <protection locked="0" hidden="1"/>
    </xf>
    <xf numFmtId="49" fontId="87" fillId="0" borderId="86" xfId="40" applyNumberFormat="1" applyFont="1" applyBorder="1" applyAlignment="1" applyProtection="1">
      <alignment horizontal="center"/>
      <protection locked="0" hidden="1"/>
    </xf>
    <xf numFmtId="0" fontId="5" fillId="42" borderId="13" xfId="40" applyFill="1" applyBorder="1" applyProtection="1">
      <protection locked="0" hidden="1"/>
    </xf>
    <xf numFmtId="0" fontId="5" fillId="0" borderId="67" xfId="40" applyBorder="1" applyProtection="1">
      <protection locked="0" hidden="1"/>
    </xf>
    <xf numFmtId="0" fontId="91" fillId="0" borderId="60" xfId="40" applyFont="1" applyBorder="1" applyAlignment="1" applyProtection="1">
      <alignment horizontal="center" vertical="center" wrapText="1"/>
      <protection locked="0" hidden="1"/>
    </xf>
    <xf numFmtId="0" fontId="91" fillId="42" borderId="18" xfId="40" applyFont="1" applyFill="1" applyBorder="1" applyAlignment="1" applyProtection="1">
      <alignment horizontal="center" vertical="top" wrapText="1"/>
      <protection locked="0" hidden="1"/>
    </xf>
    <xf numFmtId="0" fontId="91" fillId="42" borderId="18" xfId="40" applyFont="1" applyFill="1" applyBorder="1" applyAlignment="1" applyProtection="1">
      <alignment horizontal="center" vertical="center" wrapText="1"/>
      <protection locked="0" hidden="1"/>
    </xf>
    <xf numFmtId="0" fontId="91" fillId="42" borderId="19" xfId="40" applyFont="1" applyFill="1" applyBorder="1" applyAlignment="1" applyProtection="1">
      <alignment horizontal="center" vertical="top" wrapText="1"/>
      <protection locked="0" hidden="1"/>
    </xf>
    <xf numFmtId="0" fontId="5" fillId="0" borderId="0" xfId="40" applyAlignment="1">
      <alignment wrapText="1"/>
    </xf>
    <xf numFmtId="0" fontId="91" fillId="0" borderId="58" xfId="40" applyFont="1" applyBorder="1" applyAlignment="1" applyProtection="1">
      <alignment wrapText="1"/>
      <protection locked="0" hidden="1"/>
    </xf>
    <xf numFmtId="0" fontId="91" fillId="0" borderId="68" xfId="40" applyFont="1" applyBorder="1" applyAlignment="1" applyProtection="1">
      <alignment wrapText="1"/>
      <protection locked="0" hidden="1"/>
    </xf>
    <xf numFmtId="0" fontId="91" fillId="0" borderId="59" xfId="40" applyFont="1" applyBorder="1" applyAlignment="1" applyProtection="1">
      <alignment wrapText="1"/>
      <protection locked="0" hidden="1"/>
    </xf>
    <xf numFmtId="0" fontId="93" fillId="0" borderId="59" xfId="40" applyFont="1" applyBorder="1" applyAlignment="1" applyProtection="1">
      <alignment wrapText="1"/>
      <protection locked="0" hidden="1"/>
    </xf>
    <xf numFmtId="0" fontId="93" fillId="0" borderId="68" xfId="40" applyFont="1" applyBorder="1" applyAlignment="1" applyProtection="1">
      <alignment wrapText="1"/>
      <protection locked="0" hidden="1"/>
    </xf>
    <xf numFmtId="0" fontId="5" fillId="0" borderId="59" xfId="40" applyBorder="1" applyAlignment="1" applyProtection="1">
      <alignment wrapText="1"/>
      <protection locked="0" hidden="1"/>
    </xf>
    <xf numFmtId="0" fontId="5" fillId="0" borderId="68" xfId="40" applyBorder="1" applyAlignment="1" applyProtection="1">
      <alignment wrapText="1"/>
      <protection locked="0" hidden="1"/>
    </xf>
    <xf numFmtId="0" fontId="88" fillId="0" borderId="68" xfId="40" applyFont="1" applyBorder="1" applyAlignment="1" applyProtection="1">
      <alignment wrapText="1"/>
      <protection locked="0" hidden="1"/>
    </xf>
    <xf numFmtId="0" fontId="97" fillId="0" borderId="67" xfId="40" applyFont="1" applyBorder="1" applyAlignment="1">
      <alignment horizontal="left" wrapText="1"/>
    </xf>
    <xf numFmtId="0" fontId="97" fillId="0" borderId="68" xfId="40" applyFont="1" applyBorder="1" applyAlignment="1">
      <alignment horizontal="left" wrapText="1"/>
    </xf>
    <xf numFmtId="0" fontId="96" fillId="0" borderId="68" xfId="40" applyFont="1" applyBorder="1" applyAlignment="1">
      <alignment horizontal="left" wrapText="1"/>
    </xf>
    <xf numFmtId="0" fontId="96" fillId="0" borderId="59" xfId="40" applyFont="1" applyBorder="1" applyAlignment="1">
      <alignment horizontal="left" wrapText="1"/>
    </xf>
    <xf numFmtId="0" fontId="96" fillId="0" borderId="67" xfId="40" applyFont="1" applyBorder="1" applyAlignment="1">
      <alignment wrapText="1"/>
    </xf>
    <xf numFmtId="0" fontId="96" fillId="0" borderId="68" xfId="40" applyFont="1" applyBorder="1" applyAlignment="1">
      <alignment wrapText="1"/>
    </xf>
    <xf numFmtId="0" fontId="97" fillId="0" borderId="68" xfId="40" applyFont="1" applyBorder="1" applyAlignment="1">
      <alignment wrapText="1"/>
    </xf>
    <xf numFmtId="0" fontId="97" fillId="0" borderId="59" xfId="40" applyFont="1" applyBorder="1" applyAlignment="1">
      <alignment wrapText="1"/>
    </xf>
    <xf numFmtId="0" fontId="88" fillId="0" borderId="0" xfId="40" applyFont="1" applyAlignment="1">
      <alignment wrapText="1"/>
    </xf>
    <xf numFmtId="0" fontId="91" fillId="0" borderId="60" xfId="40" applyFont="1" applyBorder="1" applyAlignment="1">
      <alignment vertical="center" wrapText="1"/>
    </xf>
    <xf numFmtId="4" fontId="5" fillId="0" borderId="0" xfId="40" applyNumberFormat="1" applyAlignment="1">
      <alignment wrapText="1"/>
    </xf>
    <xf numFmtId="0" fontId="93" fillId="0" borderId="0" xfId="40" applyFont="1"/>
    <xf numFmtId="0" fontId="88" fillId="0" borderId="0" xfId="40" applyFont="1"/>
    <xf numFmtId="0" fontId="93" fillId="0" borderId="53" xfId="40" applyFont="1" applyBorder="1"/>
    <xf numFmtId="14" fontId="93" fillId="0" borderId="53" xfId="40" applyNumberFormat="1" applyFont="1" applyBorder="1" applyAlignment="1" applyProtection="1">
      <alignment horizontal="center"/>
      <protection locked="0"/>
    </xf>
    <xf numFmtId="4" fontId="93" fillId="0" borderId="0" xfId="40" applyNumberFormat="1" applyFont="1"/>
    <xf numFmtId="0" fontId="91" fillId="0" borderId="0" xfId="40" applyFont="1"/>
    <xf numFmtId="0" fontId="91" fillId="0" borderId="0" xfId="40" applyFont="1" applyAlignment="1">
      <alignment horizontal="right"/>
    </xf>
    <xf numFmtId="4" fontId="5" fillId="0" borderId="0" xfId="40" applyNumberFormat="1"/>
    <xf numFmtId="0" fontId="99" fillId="0" borderId="47" xfId="40" applyFont="1" applyBorder="1" applyAlignment="1" applyProtection="1">
      <alignment wrapText="1"/>
      <protection locked="0" hidden="1"/>
    </xf>
    <xf numFmtId="0" fontId="99" fillId="0" borderId="24" xfId="40" applyFont="1" applyBorder="1" applyAlignment="1" applyProtection="1">
      <alignment wrapText="1"/>
      <protection locked="0" hidden="1"/>
    </xf>
    <xf numFmtId="0" fontId="103" fillId="0" borderId="20" xfId="40" applyFont="1" applyBorder="1" applyAlignment="1">
      <alignment wrapText="1"/>
    </xf>
    <xf numFmtId="0" fontId="103" fillId="0" borderId="47" xfId="40" applyFont="1" applyBorder="1" applyAlignment="1">
      <alignment wrapText="1"/>
    </xf>
    <xf numFmtId="0" fontId="103" fillId="0" borderId="24" xfId="40" applyFont="1" applyBorder="1" applyAlignment="1">
      <alignment wrapText="1"/>
    </xf>
    <xf numFmtId="4" fontId="94" fillId="42" borderId="18" xfId="40" applyNumberFormat="1" applyFont="1" applyFill="1" applyBorder="1" applyAlignment="1">
      <alignment vertical="center" wrapText="1"/>
    </xf>
    <xf numFmtId="0" fontId="94" fillId="42" borderId="18" xfId="40" applyFont="1" applyFill="1" applyBorder="1" applyAlignment="1">
      <alignment vertical="center" wrapText="1"/>
    </xf>
    <xf numFmtId="4" fontId="94" fillId="42" borderId="19" xfId="40" applyNumberFormat="1" applyFont="1" applyFill="1" applyBorder="1" applyAlignment="1">
      <alignment vertical="center" wrapText="1"/>
    </xf>
    <xf numFmtId="0" fontId="105" fillId="0" borderId="13" xfId="0" applyFont="1" applyBorder="1" applyAlignment="1">
      <alignment horizontal="center" vertical="center" wrapText="1"/>
    </xf>
    <xf numFmtId="49" fontId="105" fillId="0" borderId="13" xfId="0" applyNumberFormat="1" applyFont="1" applyBorder="1" applyAlignment="1">
      <alignment horizontal="center" vertical="center" wrapText="1"/>
    </xf>
    <xf numFmtId="4" fontId="105" fillId="0" borderId="13" xfId="0" applyNumberFormat="1" applyFont="1" applyBorder="1" applyAlignment="1">
      <alignment horizontal="center" vertical="center" wrapText="1"/>
    </xf>
    <xf numFmtId="4" fontId="5" fillId="47" borderId="0" xfId="40" applyNumberFormat="1" applyFill="1" applyAlignment="1">
      <alignment wrapText="1"/>
    </xf>
    <xf numFmtId="4" fontId="94" fillId="0" borderId="49" xfId="40" applyNumberFormat="1" applyFont="1" applyBorder="1" applyAlignment="1" applyProtection="1">
      <alignment vertical="center" wrapText="1"/>
      <protection locked="0" hidden="1"/>
    </xf>
    <xf numFmtId="4" fontId="74" fillId="0" borderId="49" xfId="40" applyNumberFormat="1" applyFont="1" applyBorder="1" applyAlignment="1" applyProtection="1">
      <alignment vertical="center" wrapText="1"/>
      <protection locked="0" hidden="1"/>
    </xf>
    <xf numFmtId="4" fontId="74" fillId="0" borderId="47" xfId="40" applyNumberFormat="1" applyFont="1" applyBorder="1" applyAlignment="1">
      <alignment vertical="center" wrapText="1"/>
    </xf>
    <xf numFmtId="4" fontId="94" fillId="0" borderId="49" xfId="40" applyNumberFormat="1" applyFont="1" applyBorder="1" applyAlignment="1">
      <alignment vertical="center" wrapText="1"/>
    </xf>
    <xf numFmtId="4" fontId="94" fillId="0" borderId="25" xfId="40" applyNumberFormat="1" applyFont="1" applyBorder="1" applyAlignment="1" applyProtection="1">
      <alignment vertical="center" wrapText="1"/>
      <protection locked="0" hidden="1"/>
    </xf>
    <xf numFmtId="4" fontId="88" fillId="0" borderId="0" xfId="40" applyNumberFormat="1" applyFont="1" applyAlignment="1">
      <alignment wrapText="1"/>
    </xf>
    <xf numFmtId="4" fontId="88" fillId="0" borderId="0" xfId="40" applyNumberFormat="1" applyFont="1"/>
    <xf numFmtId="0" fontId="5" fillId="47" borderId="0" xfId="40" applyFill="1"/>
    <xf numFmtId="0" fontId="5" fillId="47" borderId="69" xfId="40" applyFill="1" applyBorder="1" applyProtection="1">
      <protection locked="0" hidden="1"/>
    </xf>
    <xf numFmtId="0" fontId="5" fillId="47" borderId="21" xfId="40" applyFill="1" applyBorder="1" applyProtection="1">
      <protection locked="0" hidden="1"/>
    </xf>
    <xf numFmtId="0" fontId="88" fillId="47" borderId="21" xfId="40" applyFont="1" applyFill="1" applyBorder="1" applyProtection="1">
      <protection locked="0" hidden="1"/>
    </xf>
    <xf numFmtId="0" fontId="91" fillId="47" borderId="21" xfId="40" applyFont="1" applyFill="1" applyBorder="1" applyProtection="1">
      <protection locked="0" hidden="1"/>
    </xf>
    <xf numFmtId="0" fontId="91" fillId="47" borderId="31" xfId="40" applyFont="1" applyFill="1" applyBorder="1" applyProtection="1">
      <protection locked="0" hidden="1"/>
    </xf>
    <xf numFmtId="0" fontId="5" fillId="47" borderId="13" xfId="40" applyFill="1" applyBorder="1" applyProtection="1">
      <protection locked="0" hidden="1"/>
    </xf>
    <xf numFmtId="0" fontId="5" fillId="47" borderId="0" xfId="40" applyFill="1" applyProtection="1">
      <protection locked="0" hidden="1"/>
    </xf>
    <xf numFmtId="0" fontId="91" fillId="47" borderId="18" xfId="40" applyFont="1" applyFill="1" applyBorder="1" applyAlignment="1" applyProtection="1">
      <alignment horizontal="center" vertical="top" wrapText="1"/>
      <protection locked="0" hidden="1"/>
    </xf>
    <xf numFmtId="0" fontId="93" fillId="47" borderId="0" xfId="40" applyFont="1" applyFill="1"/>
    <xf numFmtId="0" fontId="93" fillId="47" borderId="0" xfId="40" applyFont="1" applyFill="1" applyProtection="1">
      <protection locked="0"/>
    </xf>
    <xf numFmtId="0" fontId="91" fillId="47" borderId="0" xfId="40" applyFont="1" applyFill="1" applyProtection="1">
      <protection locked="0"/>
    </xf>
    <xf numFmtId="0" fontId="88" fillId="47" borderId="0" xfId="40" applyFont="1" applyFill="1"/>
    <xf numFmtId="0" fontId="89" fillId="47" borderId="73" xfId="40" applyFont="1" applyFill="1" applyBorder="1" applyProtection="1">
      <protection locked="0" hidden="1"/>
    </xf>
    <xf numFmtId="0" fontId="88" fillId="47" borderId="67" xfId="40" applyFont="1" applyFill="1" applyBorder="1" applyAlignment="1" applyProtection="1">
      <alignment horizontal="left"/>
      <protection locked="0" hidden="1"/>
    </xf>
    <xf numFmtId="0" fontId="93" fillId="47" borderId="58" xfId="40" applyFont="1" applyFill="1" applyBorder="1" applyProtection="1">
      <protection locked="0" hidden="1"/>
    </xf>
    <xf numFmtId="0" fontId="89" fillId="47" borderId="67" xfId="40" applyFont="1" applyFill="1" applyBorder="1" applyProtection="1">
      <protection locked="0" hidden="1"/>
    </xf>
    <xf numFmtId="0" fontId="5" fillId="47" borderId="67" xfId="40" applyFill="1" applyBorder="1" applyProtection="1">
      <protection locked="0" hidden="1"/>
    </xf>
    <xf numFmtId="0" fontId="5" fillId="47" borderId="86" xfId="40" applyFill="1" applyBorder="1" applyProtection="1">
      <protection locked="0" hidden="1"/>
    </xf>
    <xf numFmtId="0" fontId="91" fillId="47" borderId="19" xfId="40" applyFont="1" applyFill="1" applyBorder="1" applyAlignment="1" applyProtection="1">
      <alignment horizontal="center" vertical="top" wrapText="1"/>
      <protection locked="0" hidden="1"/>
    </xf>
    <xf numFmtId="4" fontId="94" fillId="47" borderId="19" xfId="40" applyNumberFormat="1" applyFont="1" applyFill="1" applyBorder="1" applyAlignment="1">
      <alignment vertical="center" wrapText="1"/>
    </xf>
    <xf numFmtId="0" fontId="93" fillId="47" borderId="53" xfId="40" applyFont="1" applyFill="1" applyBorder="1"/>
    <xf numFmtId="0" fontId="38" fillId="0" borderId="0" xfId="42" applyFont="1" applyAlignment="1">
      <alignment horizontal="left" vertical="top" wrapText="1"/>
    </xf>
    <xf numFmtId="0" fontId="38" fillId="0" borderId="0" xfId="42" applyFont="1" applyAlignment="1">
      <alignment vertical="center" wrapText="1"/>
    </xf>
    <xf numFmtId="0" fontId="39" fillId="41" borderId="66" xfId="47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4" fontId="39" fillId="41" borderId="67" xfId="47" applyNumberFormat="1" applyFont="1" applyFill="1" applyBorder="1" applyAlignment="1">
      <alignment vertical="center"/>
    </xf>
    <xf numFmtId="4" fontId="39" fillId="41" borderId="58" xfId="47" applyNumberFormat="1" applyFont="1" applyFill="1" applyBorder="1" applyAlignment="1">
      <alignment vertical="center"/>
    </xf>
    <xf numFmtId="4" fontId="39" fillId="41" borderId="68" xfId="47" applyNumberFormat="1" applyFont="1" applyFill="1" applyBorder="1" applyAlignment="1">
      <alignment vertical="center"/>
    </xf>
    <xf numFmtId="4" fontId="38" fillId="0" borderId="69" xfId="47" applyNumberFormat="1" applyFont="1" applyBorder="1" applyAlignment="1">
      <alignment vertical="center"/>
    </xf>
    <xf numFmtId="4" fontId="39" fillId="0" borderId="14" xfId="47" applyNumberFormat="1" applyFont="1" applyBorder="1" applyAlignment="1">
      <alignment vertical="center"/>
    </xf>
    <xf numFmtId="4" fontId="39" fillId="41" borderId="67" xfId="47" applyNumberFormat="1" applyFont="1" applyFill="1" applyBorder="1"/>
    <xf numFmtId="4" fontId="39" fillId="41" borderId="58" xfId="47" applyNumberFormat="1" applyFont="1" applyFill="1" applyBorder="1"/>
    <xf numFmtId="0" fontId="39" fillId="0" borderId="0" xfId="93" applyFont="1"/>
    <xf numFmtId="0" fontId="39" fillId="0" borderId="0" xfId="93" applyFont="1" applyAlignment="1">
      <alignment horizontal="left"/>
    </xf>
    <xf numFmtId="0" fontId="38" fillId="0" borderId="0" xfId="94" applyFont="1" applyAlignment="1">
      <alignment vertical="top" wrapText="1"/>
    </xf>
    <xf numFmtId="0" fontId="39" fillId="0" borderId="0" xfId="94" applyFont="1" applyAlignment="1">
      <alignment vertical="top"/>
    </xf>
    <xf numFmtId="0" fontId="39" fillId="0" borderId="0" xfId="94" applyFont="1" applyAlignment="1">
      <alignment vertical="center"/>
    </xf>
    <xf numFmtId="0" fontId="39" fillId="0" borderId="0" xfId="93" applyFont="1" applyAlignment="1">
      <alignment vertical="top"/>
    </xf>
    <xf numFmtId="0" fontId="39" fillId="0" borderId="0" xfId="93" applyFont="1" applyAlignment="1">
      <alignment horizontal="left" vertical="top"/>
    </xf>
    <xf numFmtId="0" fontId="39" fillId="0" borderId="0" xfId="93" applyFont="1" applyAlignment="1">
      <alignment horizontal="left" vertical="center"/>
    </xf>
    <xf numFmtId="4" fontId="39" fillId="0" borderId="0" xfId="93" applyNumberFormat="1" applyFont="1" applyAlignment="1">
      <alignment vertical="center"/>
    </xf>
    <xf numFmtId="0" fontId="38" fillId="0" borderId="0" xfId="93" applyFont="1" applyAlignment="1">
      <alignment vertical="center"/>
    </xf>
    <xf numFmtId="0" fontId="39" fillId="0" borderId="0" xfId="93" applyFont="1" applyAlignment="1">
      <alignment vertical="center"/>
    </xf>
    <xf numFmtId="0" fontId="38" fillId="0" borderId="77" xfId="93" applyFont="1" applyBorder="1" applyAlignment="1">
      <alignment vertical="center"/>
    </xf>
    <xf numFmtId="0" fontId="39" fillId="0" borderId="77" xfId="93" applyFont="1" applyBorder="1" applyAlignment="1">
      <alignment vertical="center"/>
    </xf>
    <xf numFmtId="0" fontId="39" fillId="0" borderId="77" xfId="93" applyFont="1" applyBorder="1" applyAlignment="1">
      <alignment horizontal="left" vertical="center"/>
    </xf>
    <xf numFmtId="0" fontId="39" fillId="0" borderId="53" xfId="93" applyFont="1" applyBorder="1" applyAlignment="1">
      <alignment vertical="center"/>
    </xf>
    <xf numFmtId="49" fontId="39" fillId="0" borderId="0" xfId="93" applyNumberFormat="1" applyFont="1" applyAlignment="1">
      <alignment horizontal="left" vertical="center"/>
    </xf>
    <xf numFmtId="0" fontId="39" fillId="0" borderId="78" xfId="93" applyFont="1" applyBorder="1" applyAlignment="1">
      <alignment vertical="center"/>
    </xf>
    <xf numFmtId="0" fontId="39" fillId="0" borderId="14" xfId="93" applyFont="1" applyBorder="1" applyAlignment="1">
      <alignment vertical="center"/>
    </xf>
    <xf numFmtId="0" fontId="39" fillId="0" borderId="44" xfId="93" applyFont="1" applyBorder="1" applyAlignment="1">
      <alignment vertical="center"/>
    </xf>
    <xf numFmtId="0" fontId="38" fillId="0" borderId="77" xfId="93" applyFont="1" applyBorder="1" applyAlignment="1">
      <alignment horizontal="left" vertical="center"/>
    </xf>
    <xf numFmtId="0" fontId="38" fillId="0" borderId="0" xfId="93" applyFont="1" applyAlignment="1">
      <alignment horizontal="left" vertical="center" wrapText="1"/>
    </xf>
    <xf numFmtId="0" fontId="39" fillId="0" borderId="79" xfId="93" applyFont="1" applyBorder="1" applyAlignment="1">
      <alignment vertical="center"/>
    </xf>
    <xf numFmtId="0" fontId="39" fillId="0" borderId="0" xfId="93" applyFont="1" applyAlignment="1">
      <alignment horizontal="center" vertical="center" wrapText="1"/>
    </xf>
    <xf numFmtId="4" fontId="38" fillId="0" borderId="60" xfId="0" applyNumberFormat="1" applyFont="1" applyBorder="1" applyAlignment="1">
      <alignment horizontal="right" vertical="center"/>
    </xf>
    <xf numFmtId="4" fontId="39" fillId="0" borderId="19" xfId="0" applyNumberFormat="1" applyFont="1" applyBorder="1" applyAlignment="1">
      <alignment horizontal="right" vertical="center"/>
    </xf>
    <xf numFmtId="4" fontId="39" fillId="0" borderId="87" xfId="0" applyNumberFormat="1" applyFont="1" applyBorder="1" applyAlignment="1">
      <alignment horizontal="right" vertical="center"/>
    </xf>
    <xf numFmtId="4" fontId="39" fillId="0" borderId="21" xfId="0" applyNumberFormat="1" applyFont="1" applyBorder="1" applyAlignment="1">
      <alignment horizontal="right" vertical="center"/>
    </xf>
    <xf numFmtId="4" fontId="39" fillId="0" borderId="13" xfId="0" applyNumberFormat="1" applyFont="1" applyBorder="1" applyAlignment="1">
      <alignment horizontal="right" vertical="center"/>
    </xf>
    <xf numFmtId="4" fontId="38" fillId="0" borderId="20" xfId="0" applyNumberFormat="1" applyFont="1" applyBorder="1" applyAlignment="1">
      <alignment horizontal="right" vertical="center"/>
    </xf>
    <xf numFmtId="0" fontId="39" fillId="0" borderId="0" xfId="93" applyFont="1" applyAlignment="1">
      <alignment horizontal="center" vertical="center"/>
    </xf>
    <xf numFmtId="0" fontId="38" fillId="0" borderId="77" xfId="93" applyFont="1" applyBorder="1" applyAlignment="1">
      <alignment horizontal="left" vertical="center" wrapText="1"/>
    </xf>
    <xf numFmtId="0" fontId="38" fillId="0" borderId="0" xfId="94" applyFont="1" applyAlignment="1">
      <alignment vertical="center" wrapText="1"/>
    </xf>
    <xf numFmtId="0" fontId="39" fillId="0" borderId="0" xfId="93" applyFont="1" applyAlignment="1">
      <alignment horizontal="left" wrapText="1"/>
    </xf>
    <xf numFmtId="0" fontId="38" fillId="0" borderId="0" xfId="94" applyFont="1" applyAlignment="1">
      <alignment horizontal="left" vertical="top" wrapText="1"/>
    </xf>
    <xf numFmtId="0" fontId="38" fillId="0" borderId="0" xfId="94" applyFont="1" applyAlignment="1">
      <alignment horizontal="left" vertical="center" wrapText="1"/>
    </xf>
    <xf numFmtId="0" fontId="91" fillId="0" borderId="22" xfId="40" applyFont="1" applyBorder="1" applyAlignment="1" applyProtection="1">
      <alignment wrapText="1"/>
      <protection locked="0" hidden="1"/>
    </xf>
    <xf numFmtId="4" fontId="91" fillId="0" borderId="23" xfId="40" applyNumberFormat="1" applyFont="1" applyBorder="1" applyAlignment="1" applyProtection="1">
      <alignment vertical="center" wrapText="1"/>
      <protection locked="0" hidden="1"/>
    </xf>
    <xf numFmtId="0" fontId="94" fillId="0" borderId="47" xfId="40" applyFont="1" applyBorder="1" applyAlignment="1" applyProtection="1">
      <alignment wrapText="1"/>
      <protection locked="0" hidden="1"/>
    </xf>
    <xf numFmtId="0" fontId="94" fillId="0" borderId="24" xfId="40" applyFont="1" applyBorder="1" applyAlignment="1" applyProtection="1">
      <alignment wrapText="1"/>
      <protection locked="0" hidden="1"/>
    </xf>
    <xf numFmtId="0" fontId="74" fillId="0" borderId="52" xfId="40" applyFont="1" applyBorder="1" applyAlignment="1" applyProtection="1">
      <alignment wrapText="1"/>
      <protection locked="0" hidden="1"/>
    </xf>
    <xf numFmtId="0" fontId="74" fillId="0" borderId="24" xfId="40" applyFont="1" applyBorder="1" applyAlignment="1" applyProtection="1">
      <alignment wrapText="1"/>
      <protection locked="0" hidden="1"/>
    </xf>
    <xf numFmtId="0" fontId="94" fillId="0" borderId="47" xfId="40" applyFont="1" applyBorder="1" applyAlignment="1" applyProtection="1">
      <alignment vertical="center" wrapText="1"/>
      <protection locked="0" hidden="1"/>
    </xf>
    <xf numFmtId="0" fontId="104" fillId="0" borderId="47" xfId="40" applyFont="1" applyBorder="1" applyAlignment="1">
      <alignment wrapText="1"/>
    </xf>
    <xf numFmtId="0" fontId="99" fillId="0" borderId="24" xfId="40" applyFont="1" applyBorder="1" applyAlignment="1">
      <alignment wrapText="1"/>
    </xf>
    <xf numFmtId="0" fontId="99" fillId="0" borderId="25" xfId="40" applyFont="1" applyBorder="1" applyAlignment="1">
      <alignment wrapText="1"/>
    </xf>
    <xf numFmtId="0" fontId="104" fillId="0" borderId="24" xfId="40" applyFont="1" applyBorder="1" applyAlignment="1">
      <alignment wrapText="1"/>
    </xf>
    <xf numFmtId="4" fontId="74" fillId="0" borderId="25" xfId="40" applyNumberFormat="1" applyFont="1" applyBorder="1" applyAlignment="1">
      <alignment vertical="center" wrapText="1"/>
    </xf>
    <xf numFmtId="4" fontId="74" fillId="0" borderId="49" xfId="40" applyNumberFormat="1" applyFont="1" applyBorder="1" applyAlignment="1">
      <alignment vertical="center" wrapText="1"/>
    </xf>
    <xf numFmtId="0" fontId="103" fillId="0" borderId="26" xfId="40" applyFont="1" applyBorder="1" applyAlignment="1">
      <alignment wrapText="1"/>
    </xf>
    <xf numFmtId="4" fontId="74" fillId="0" borderId="27" xfId="40" applyNumberFormat="1" applyFont="1" applyBorder="1" applyAlignment="1">
      <alignment vertical="center" wrapText="1"/>
    </xf>
    <xf numFmtId="0" fontId="4" fillId="0" borderId="0" xfId="93"/>
    <xf numFmtId="0" fontId="4" fillId="0" borderId="56" xfId="93" applyBorder="1"/>
    <xf numFmtId="0" fontId="4" fillId="0" borderId="146" xfId="93" applyBorder="1"/>
    <xf numFmtId="0" fontId="4" fillId="0" borderId="55" xfId="93" applyBorder="1"/>
    <xf numFmtId="0" fontId="95" fillId="0" borderId="67" xfId="93" applyFont="1" applyBorder="1"/>
    <xf numFmtId="0" fontId="4" fillId="0" borderId="21" xfId="93" applyBorder="1"/>
    <xf numFmtId="0" fontId="4" fillId="0" borderId="20" xfId="93" applyBorder="1"/>
    <xf numFmtId="0" fontId="4" fillId="0" borderId="67" xfId="93" applyBorder="1"/>
    <xf numFmtId="0" fontId="4" fillId="0" borderId="58" xfId="93" applyBorder="1"/>
    <xf numFmtId="0" fontId="4" fillId="0" borderId="53" xfId="93" applyBorder="1"/>
    <xf numFmtId="0" fontId="4" fillId="0" borderId="31" xfId="93" applyBorder="1"/>
    <xf numFmtId="0" fontId="95" fillId="0" borderId="20" xfId="93" applyFont="1" applyBorder="1"/>
    <xf numFmtId="0" fontId="4" fillId="0" borderId="68" xfId="93" applyBorder="1"/>
    <xf numFmtId="0" fontId="4" fillId="0" borderId="48" xfId="93" applyBorder="1"/>
    <xf numFmtId="0" fontId="4" fillId="0" borderId="49" xfId="93" applyBorder="1"/>
    <xf numFmtId="0" fontId="4" fillId="0" borderId="147" xfId="93" applyBorder="1"/>
    <xf numFmtId="49" fontId="95" fillId="0" borderId="67" xfId="93" applyNumberFormat="1" applyFont="1" applyBorder="1"/>
    <xf numFmtId="0" fontId="4" fillId="0" borderId="86" xfId="93" applyBorder="1"/>
    <xf numFmtId="0" fontId="4" fillId="0" borderId="14" xfId="93" applyBorder="1"/>
    <xf numFmtId="0" fontId="4" fillId="0" borderId="13" xfId="93" applyBorder="1"/>
    <xf numFmtId="0" fontId="4" fillId="0" borderId="35" xfId="93" applyBorder="1"/>
    <xf numFmtId="0" fontId="98" fillId="0" borderId="66" xfId="93" applyFont="1" applyBorder="1" applyAlignment="1">
      <alignment horizontal="center" wrapText="1"/>
    </xf>
    <xf numFmtId="0" fontId="4" fillId="0" borderId="148" xfId="93" applyBorder="1"/>
    <xf numFmtId="0" fontId="4" fillId="0" borderId="66" xfId="93" applyBorder="1"/>
    <xf numFmtId="0" fontId="4" fillId="0" borderId="86" xfId="93" applyBorder="1" applyAlignment="1">
      <alignment horizontal="center" vertical="center"/>
    </xf>
    <xf numFmtId="0" fontId="4" fillId="0" borderId="14" xfId="93" applyBorder="1" applyAlignment="1">
      <alignment horizontal="center" vertical="center"/>
    </xf>
    <xf numFmtId="0" fontId="4" fillId="0" borderId="13" xfId="93" applyBorder="1" applyAlignment="1">
      <alignment horizontal="center" vertical="center"/>
    </xf>
    <xf numFmtId="0" fontId="4" fillId="0" borderId="0" xfId="93" applyAlignment="1">
      <alignment horizontal="center" vertical="center"/>
    </xf>
    <xf numFmtId="0" fontId="95" fillId="0" borderId="66" xfId="93" applyFont="1" applyBorder="1" applyAlignment="1">
      <alignment horizontal="center" vertical="center" wrapText="1"/>
    </xf>
    <xf numFmtId="0" fontId="95" fillId="0" borderId="0" xfId="93" applyFont="1" applyAlignment="1">
      <alignment horizontal="center" vertical="center" wrapText="1"/>
    </xf>
    <xf numFmtId="0" fontId="4" fillId="0" borderId="30" xfId="93" applyBorder="1"/>
    <xf numFmtId="0" fontId="4" fillId="0" borderId="11" xfId="93" applyBorder="1"/>
    <xf numFmtId="0" fontId="4" fillId="0" borderId="81" xfId="93" applyBorder="1" applyAlignment="1">
      <alignment horizontal="right"/>
    </xf>
    <xf numFmtId="0" fontId="4" fillId="0" borderId="81" xfId="93" applyBorder="1"/>
    <xf numFmtId="0" fontId="95" fillId="0" borderId="57" xfId="93" applyFont="1" applyBorder="1"/>
    <xf numFmtId="0" fontId="95" fillId="0" borderId="39" xfId="93" applyFont="1" applyBorder="1"/>
    <xf numFmtId="0" fontId="95" fillId="0" borderId="61" xfId="93" applyFont="1" applyBorder="1"/>
    <xf numFmtId="0" fontId="95" fillId="0" borderId="97" xfId="93" applyFont="1" applyBorder="1"/>
    <xf numFmtId="4" fontId="95" fillId="0" borderId="65" xfId="93" applyNumberFormat="1" applyFont="1" applyBorder="1" applyAlignment="1">
      <alignment horizontal="right"/>
    </xf>
    <xf numFmtId="4" fontId="95" fillId="0" borderId="96" xfId="93" applyNumberFormat="1" applyFont="1" applyBorder="1" applyAlignment="1">
      <alignment horizontal="right"/>
    </xf>
    <xf numFmtId="0" fontId="95" fillId="0" borderId="0" xfId="93" applyFont="1"/>
    <xf numFmtId="4" fontId="95" fillId="0" borderId="0" xfId="93" applyNumberFormat="1" applyFont="1"/>
    <xf numFmtId="0" fontId="4" fillId="0" borderId="32" xfId="93" applyBorder="1"/>
    <xf numFmtId="0" fontId="4" fillId="0" borderId="43" xfId="93" applyBorder="1"/>
    <xf numFmtId="4" fontId="4" fillId="0" borderId="63" xfId="93" applyNumberFormat="1" applyBorder="1" applyAlignment="1">
      <alignment horizontal="right"/>
    </xf>
    <xf numFmtId="4" fontId="4" fillId="0" borderId="28" xfId="93" applyNumberFormat="1" applyBorder="1"/>
    <xf numFmtId="4" fontId="4" fillId="0" borderId="0" xfId="93" applyNumberFormat="1"/>
    <xf numFmtId="0" fontId="4" fillId="0" borderId="58" xfId="93" applyBorder="1" applyAlignment="1">
      <alignment vertical="top"/>
    </xf>
    <xf numFmtId="0" fontId="4" fillId="47" borderId="32" xfId="93" applyFill="1" applyBorder="1"/>
    <xf numFmtId="0" fontId="4" fillId="47" borderId="11" xfId="93" applyFill="1" applyBorder="1"/>
    <xf numFmtId="0" fontId="4" fillId="47" borderId="43" xfId="93" applyFill="1" applyBorder="1"/>
    <xf numFmtId="4" fontId="4" fillId="47" borderId="28" xfId="93" applyNumberFormat="1" applyFill="1" applyBorder="1"/>
    <xf numFmtId="0" fontId="95" fillId="0" borderId="59" xfId="93" applyFont="1" applyBorder="1" applyAlignment="1">
      <alignment wrapText="1"/>
    </xf>
    <xf numFmtId="0" fontId="95" fillId="47" borderId="43" xfId="93" applyFont="1" applyFill="1" applyBorder="1"/>
    <xf numFmtId="4" fontId="95" fillId="47" borderId="63" xfId="93" applyNumberFormat="1" applyFont="1" applyFill="1" applyBorder="1" applyAlignment="1">
      <alignment horizontal="right"/>
    </xf>
    <xf numFmtId="168" fontId="95" fillId="0" borderId="28" xfId="93" applyNumberFormat="1" applyFont="1" applyBorder="1" applyAlignment="1">
      <alignment vertical="center"/>
    </xf>
    <xf numFmtId="164" fontId="74" fillId="0" borderId="28" xfId="93" applyNumberFormat="1" applyFont="1" applyBorder="1" applyAlignment="1">
      <alignment vertical="center"/>
    </xf>
    <xf numFmtId="164" fontId="74" fillId="47" borderId="28" xfId="93" applyNumberFormat="1" applyFont="1" applyFill="1" applyBorder="1" applyAlignment="1">
      <alignment vertical="center"/>
    </xf>
    <xf numFmtId="0" fontId="4" fillId="0" borderId="59" xfId="93" applyBorder="1"/>
    <xf numFmtId="0" fontId="4" fillId="0" borderId="28" xfId="93" applyBorder="1"/>
    <xf numFmtId="168" fontId="100" fillId="0" borderId="28" xfId="93" applyNumberFormat="1" applyFont="1" applyBorder="1" applyAlignment="1">
      <alignment vertical="center"/>
    </xf>
    <xf numFmtId="0" fontId="95" fillId="0" borderId="58" xfId="93" applyFont="1" applyBorder="1"/>
    <xf numFmtId="0" fontId="95" fillId="0" borderId="32" xfId="93" applyFont="1" applyBorder="1"/>
    <xf numFmtId="0" fontId="95" fillId="0" borderId="11" xfId="93" applyFont="1" applyBorder="1"/>
    <xf numFmtId="0" fontId="95" fillId="0" borderId="43" xfId="93" applyFont="1" applyBorder="1"/>
    <xf numFmtId="4" fontId="95" fillId="0" borderId="63" xfId="93" applyNumberFormat="1" applyFont="1" applyBorder="1" applyAlignment="1">
      <alignment horizontal="right"/>
    </xf>
    <xf numFmtId="164" fontId="26" fillId="0" borderId="28" xfId="93" applyNumberFormat="1" applyFont="1" applyBorder="1" applyAlignment="1">
      <alignment vertical="center"/>
    </xf>
    <xf numFmtId="164" fontId="100" fillId="0" borderId="28" xfId="93" applyNumberFormat="1" applyFont="1" applyBorder="1" applyAlignment="1">
      <alignment vertical="center"/>
    </xf>
    <xf numFmtId="4" fontId="83" fillId="0" borderId="28" xfId="93" applyNumberFormat="1" applyFont="1" applyBorder="1" applyAlignment="1" applyProtection="1">
      <alignment vertical="center"/>
      <protection locked="0"/>
    </xf>
    <xf numFmtId="164" fontId="4" fillId="0" borderId="28" xfId="93" applyNumberFormat="1" applyBorder="1" applyAlignment="1">
      <alignment vertical="center"/>
    </xf>
    <xf numFmtId="164" fontId="95" fillId="0" borderId="28" xfId="93" applyNumberFormat="1" applyFont="1" applyBorder="1" applyAlignment="1">
      <alignment vertical="center"/>
    </xf>
    <xf numFmtId="0" fontId="95" fillId="0" borderId="60" xfId="93" applyFont="1" applyBorder="1"/>
    <xf numFmtId="0" fontId="95" fillId="0" borderId="33" xfId="93" applyFont="1" applyBorder="1"/>
    <xf numFmtId="0" fontId="95" fillId="0" borderId="34" xfId="93" applyFont="1" applyBorder="1"/>
    <xf numFmtId="0" fontId="95" fillId="0" borderId="98" xfId="93" applyFont="1" applyBorder="1"/>
    <xf numFmtId="4" fontId="95" fillId="0" borderId="40" xfId="93" applyNumberFormat="1" applyFont="1" applyBorder="1" applyAlignment="1">
      <alignment horizontal="right"/>
    </xf>
    <xf numFmtId="4" fontId="95" fillId="0" borderId="101" xfId="93" applyNumberFormat="1" applyFont="1" applyBorder="1"/>
    <xf numFmtId="0" fontId="101" fillId="0" borderId="0" xfId="93" applyFont="1"/>
    <xf numFmtId="0" fontId="4" fillId="0" borderId="0" xfId="93" applyAlignment="1">
      <alignment horizontal="center"/>
    </xf>
    <xf numFmtId="0" fontId="4" fillId="0" borderId="0" xfId="93" applyAlignment="1">
      <alignment horizontal="left"/>
    </xf>
    <xf numFmtId="0" fontId="102" fillId="0" borderId="0" xfId="93" applyFont="1"/>
    <xf numFmtId="0" fontId="32" fillId="0" borderId="0" xfId="93" applyFont="1" applyAlignment="1">
      <alignment horizontal="right"/>
    </xf>
    <xf numFmtId="0" fontId="88" fillId="47" borderId="20" xfId="40" applyFont="1" applyFill="1" applyBorder="1" applyAlignment="1" applyProtection="1">
      <alignment horizontal="left"/>
      <protection locked="0" hidden="1"/>
    </xf>
    <xf numFmtId="0" fontId="98" fillId="0" borderId="66" xfId="93" applyFont="1" applyBorder="1"/>
    <xf numFmtId="0" fontId="95" fillId="0" borderId="66" xfId="93" applyFont="1" applyBorder="1" applyAlignment="1">
      <alignment horizontal="center" wrapText="1"/>
    </xf>
    <xf numFmtId="0" fontId="95" fillId="0" borderId="42" xfId="93" applyFont="1" applyBorder="1"/>
    <xf numFmtId="0" fontId="95" fillId="0" borderId="23" xfId="93" applyFont="1" applyBorder="1"/>
    <xf numFmtId="0" fontId="95" fillId="0" borderId="56" xfId="93" applyFont="1" applyBorder="1"/>
    <xf numFmtId="4" fontId="95" fillId="0" borderId="65" xfId="93" applyNumberFormat="1" applyFont="1" applyBorder="1"/>
    <xf numFmtId="0" fontId="95" fillId="0" borderId="53" xfId="93" applyFont="1" applyBorder="1"/>
    <xf numFmtId="0" fontId="95" fillId="0" borderId="31" xfId="93" applyFont="1" applyBorder="1"/>
    <xf numFmtId="4" fontId="95" fillId="0" borderId="63" xfId="93" applyNumberFormat="1" applyFont="1" applyBorder="1"/>
    <xf numFmtId="0" fontId="4" fillId="0" borderId="44" xfId="93" applyBorder="1"/>
    <xf numFmtId="0" fontId="4" fillId="0" borderId="25" xfId="93" applyBorder="1"/>
    <xf numFmtId="4" fontId="4" fillId="0" borderId="63" xfId="93" applyNumberFormat="1" applyBorder="1"/>
    <xf numFmtId="0" fontId="95" fillId="0" borderId="14" xfId="93" applyFont="1" applyBorder="1"/>
    <xf numFmtId="0" fontId="4" fillId="0" borderId="82" xfId="93" applyBorder="1"/>
    <xf numFmtId="0" fontId="95" fillId="0" borderId="41" xfId="93" applyFont="1" applyBorder="1"/>
    <xf numFmtId="0" fontId="95" fillId="0" borderId="72" xfId="93" applyFont="1" applyBorder="1"/>
    <xf numFmtId="4" fontId="95" fillId="0" borderId="80" xfId="93" applyNumberFormat="1" applyFont="1" applyBorder="1"/>
    <xf numFmtId="0" fontId="95" fillId="0" borderId="0" xfId="93" applyFont="1" applyAlignment="1">
      <alignment horizontal="right"/>
    </xf>
    <xf numFmtId="2" fontId="4" fillId="0" borderId="0" xfId="93" applyNumberFormat="1"/>
    <xf numFmtId="4" fontId="101" fillId="0" borderId="0" xfId="93" applyNumberFormat="1" applyFont="1"/>
    <xf numFmtId="4" fontId="4" fillId="0" borderId="0" xfId="93" applyNumberFormat="1" applyAlignment="1">
      <alignment horizontal="center"/>
    </xf>
    <xf numFmtId="4" fontId="32" fillId="0" borderId="0" xfId="93" applyNumberFormat="1" applyFont="1"/>
    <xf numFmtId="0" fontId="39" fillId="0" borderId="0" xfId="94" applyFont="1"/>
    <xf numFmtId="0" fontId="38" fillId="0" borderId="0" xfId="94" applyFont="1" applyAlignment="1">
      <alignment horizontal="left" vertical="center"/>
    </xf>
    <xf numFmtId="0" fontId="39" fillId="0" borderId="0" xfId="94" applyFont="1" applyAlignment="1">
      <alignment vertical="center" wrapText="1"/>
    </xf>
    <xf numFmtId="0" fontId="52" fillId="0" borderId="14" xfId="94" applyFont="1" applyBorder="1" applyAlignment="1">
      <alignment horizontal="center" vertical="center" wrapText="1"/>
    </xf>
    <xf numFmtId="0" fontId="38" fillId="41" borderId="60" xfId="94" applyFont="1" applyFill="1" applyBorder="1" applyAlignment="1">
      <alignment horizontal="center" vertical="center"/>
    </xf>
    <xf numFmtId="0" fontId="38" fillId="41" borderId="60" xfId="94" applyFont="1" applyFill="1" applyBorder="1" applyAlignment="1">
      <alignment horizontal="center" vertical="center" wrapText="1"/>
    </xf>
    <xf numFmtId="0" fontId="38" fillId="41" borderId="18" xfId="94" applyFont="1" applyFill="1" applyBorder="1" applyAlignment="1">
      <alignment horizontal="center" vertical="center"/>
    </xf>
    <xf numFmtId="0" fontId="39" fillId="0" borderId="66" xfId="94" applyFont="1" applyBorder="1" applyAlignment="1">
      <alignment horizontal="center" vertical="center"/>
    </xf>
    <xf numFmtId="0" fontId="39" fillId="0" borderId="13" xfId="94" applyFont="1" applyBorder="1" applyAlignment="1">
      <alignment horizontal="center" vertical="center"/>
    </xf>
    <xf numFmtId="0" fontId="39" fillId="0" borderId="60" xfId="94" applyFont="1" applyBorder="1" applyAlignment="1">
      <alignment horizontal="center" vertical="center"/>
    </xf>
    <xf numFmtId="0" fontId="39" fillId="0" borderId="60" xfId="94" applyFont="1" applyBorder="1" applyAlignment="1">
      <alignment horizontal="center" vertical="center" wrapText="1"/>
    </xf>
    <xf numFmtId="0" fontId="39" fillId="0" borderId="18" xfId="94" applyFont="1" applyBorder="1" applyAlignment="1">
      <alignment horizontal="center" vertical="center"/>
    </xf>
    <xf numFmtId="0" fontId="39" fillId="41" borderId="18" xfId="94" applyFont="1" applyFill="1" applyBorder="1" applyAlignment="1">
      <alignment vertical="center"/>
    </xf>
    <xf numFmtId="4" fontId="39" fillId="41" borderId="19" xfId="94" applyNumberFormat="1" applyFont="1" applyFill="1" applyBorder="1" applyAlignment="1">
      <alignment horizontal="center" vertical="center"/>
    </xf>
    <xf numFmtId="0" fontId="39" fillId="0" borderId="0" xfId="94" applyFont="1" applyAlignment="1">
      <alignment horizontal="left" vertical="center" wrapText="1"/>
    </xf>
    <xf numFmtId="0" fontId="39" fillId="0" borderId="0" xfId="94" applyFont="1" applyAlignment="1">
      <alignment horizontal="center" vertical="center" wrapText="1"/>
    </xf>
    <xf numFmtId="0" fontId="75" fillId="0" borderId="0" xfId="95" applyFont="1" applyAlignment="1">
      <alignment vertical="center"/>
    </xf>
    <xf numFmtId="0" fontId="75" fillId="0" borderId="53" xfId="95" applyFont="1" applyBorder="1" applyAlignment="1">
      <alignment vertical="center"/>
    </xf>
    <xf numFmtId="4" fontId="75" fillId="0" borderId="53" xfId="95" applyNumberFormat="1" applyFont="1" applyBorder="1" applyAlignment="1">
      <alignment vertical="center"/>
    </xf>
    <xf numFmtId="0" fontId="75" fillId="0" borderId="78" xfId="95" applyFont="1" applyBorder="1" applyAlignment="1">
      <alignment vertical="center"/>
    </xf>
    <xf numFmtId="4" fontId="75" fillId="0" borderId="0" xfId="95" applyNumberFormat="1" applyFont="1" applyAlignment="1">
      <alignment vertical="center"/>
    </xf>
    <xf numFmtId="0" fontId="38" fillId="0" borderId="0" xfId="93" applyFont="1" applyAlignment="1">
      <alignment horizontal="center" vertical="center"/>
    </xf>
    <xf numFmtId="4" fontId="39" fillId="0" borderId="0" xfId="47" applyNumberFormat="1" applyFont="1" applyAlignment="1">
      <alignment vertical="center"/>
    </xf>
    <xf numFmtId="4" fontId="39" fillId="41" borderId="66" xfId="47" applyNumberFormat="1" applyFont="1" applyFill="1" applyBorder="1" applyAlignment="1">
      <alignment horizontal="center" vertical="center"/>
    </xf>
    <xf numFmtId="0" fontId="38" fillId="0" borderId="0" xfId="94" applyFont="1" applyAlignment="1">
      <alignment horizontal="left" vertical="top"/>
    </xf>
    <xf numFmtId="4" fontId="38" fillId="0" borderId="41" xfId="0" applyNumberFormat="1" applyFont="1" applyBorder="1" applyAlignment="1">
      <alignment vertical="center"/>
    </xf>
    <xf numFmtId="4" fontId="38" fillId="0" borderId="18" xfId="0" applyNumberFormat="1" applyFont="1" applyBorder="1" applyAlignment="1">
      <alignment vertical="center"/>
    </xf>
    <xf numFmtId="0" fontId="39" fillId="0" borderId="11" xfId="0" applyFont="1" applyBorder="1" applyAlignment="1">
      <alignment horizontal="center"/>
    </xf>
    <xf numFmtId="4" fontId="38" fillId="0" borderId="63" xfId="0" applyNumberFormat="1" applyFont="1" applyBorder="1" applyAlignment="1">
      <alignment horizontal="center"/>
    </xf>
    <xf numFmtId="4" fontId="39" fillId="0" borderId="11" xfId="0" applyNumberFormat="1" applyFont="1" applyBorder="1" applyAlignment="1" applyProtection="1">
      <alignment horizontal="center"/>
      <protection locked="0"/>
    </xf>
    <xf numFmtId="4" fontId="39" fillId="0" borderId="81" xfId="0" applyNumberFormat="1" applyFont="1" applyBorder="1" applyAlignment="1" applyProtection="1">
      <alignment horizontal="center"/>
      <protection locked="0"/>
    </xf>
    <xf numFmtId="0" fontId="39" fillId="0" borderId="81" xfId="0" applyFont="1" applyBorder="1" applyAlignment="1">
      <alignment horizontal="center"/>
    </xf>
    <xf numFmtId="4" fontId="38" fillId="0" borderId="11" xfId="0" applyNumberFormat="1" applyFont="1" applyBorder="1" applyAlignment="1">
      <alignment horizontal="center"/>
    </xf>
    <xf numFmtId="4" fontId="37" fillId="0" borderId="24" xfId="0" applyNumberFormat="1" applyFont="1" applyBorder="1" applyAlignment="1" applyProtection="1">
      <alignment vertical="center"/>
      <protection locked="0"/>
    </xf>
    <xf numFmtId="4" fontId="37" fillId="0" borderId="52" xfId="0" applyNumberFormat="1" applyFont="1" applyBorder="1" applyAlignment="1" applyProtection="1">
      <alignment vertical="center"/>
      <protection locked="0"/>
    </xf>
    <xf numFmtId="4" fontId="41" fillId="0" borderId="31" xfId="0" applyNumberFormat="1" applyFont="1" applyBorder="1" applyAlignment="1" applyProtection="1">
      <alignment vertical="center"/>
      <protection locked="0"/>
    </xf>
    <xf numFmtId="169" fontId="4" fillId="0" borderId="0" xfId="93" applyNumberFormat="1"/>
    <xf numFmtId="169" fontId="95" fillId="0" borderId="0" xfId="93" applyNumberFormat="1" applyFont="1"/>
    <xf numFmtId="4" fontId="37" fillId="0" borderId="18" xfId="0" applyNumberFormat="1" applyFont="1" applyBorder="1" applyAlignment="1">
      <alignment vertical="center"/>
    </xf>
    <xf numFmtId="4" fontId="43" fillId="0" borderId="23" xfId="0" applyNumberFormat="1" applyFont="1" applyBorder="1" applyAlignment="1" applyProtection="1">
      <alignment vertical="center"/>
      <protection locked="0"/>
    </xf>
    <xf numFmtId="4" fontId="43" fillId="0" borderId="25" xfId="0" applyNumberFormat="1" applyFont="1" applyBorder="1" applyAlignment="1" applyProtection="1">
      <alignment vertical="center"/>
      <protection locked="0"/>
    </xf>
    <xf numFmtId="4" fontId="36" fillId="0" borderId="52" xfId="0" applyNumberFormat="1" applyFont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4" fontId="43" fillId="0" borderId="59" xfId="0" applyNumberFormat="1" applyFont="1" applyBorder="1" applyAlignment="1" applyProtection="1">
      <alignment vertical="center" wrapText="1"/>
      <protection locked="0"/>
    </xf>
    <xf numFmtId="170" fontId="0" fillId="0" borderId="0" xfId="0" applyNumberFormat="1"/>
    <xf numFmtId="4" fontId="39" fillId="0" borderId="13" xfId="94" applyNumberFormat="1" applyFont="1" applyBorder="1" applyAlignment="1">
      <alignment horizontal="center" vertical="center"/>
    </xf>
    <xf numFmtId="4" fontId="39" fillId="0" borderId="60" xfId="94" applyNumberFormat="1" applyFont="1" applyBorder="1" applyAlignment="1">
      <alignment horizontal="center" vertical="center"/>
    </xf>
    <xf numFmtId="4" fontId="39" fillId="0" borderId="60" xfId="94" applyNumberFormat="1" applyFont="1" applyBorder="1" applyAlignment="1">
      <alignment horizontal="center" vertical="center" wrapText="1"/>
    </xf>
    <xf numFmtId="4" fontId="39" fillId="0" borderId="18" xfId="94" applyNumberFormat="1" applyFont="1" applyBorder="1" applyAlignment="1">
      <alignment horizontal="center" vertical="center"/>
    </xf>
    <xf numFmtId="0" fontId="39" fillId="0" borderId="94" xfId="0" applyFont="1" applyBorder="1" applyAlignment="1">
      <alignment horizontal="center" vertical="center" wrapText="1"/>
    </xf>
    <xf numFmtId="0" fontId="39" fillId="0" borderId="93" xfId="0" applyFont="1" applyBorder="1" applyAlignment="1">
      <alignment horizontal="center" vertical="center" wrapText="1"/>
    </xf>
    <xf numFmtId="4" fontId="39" fillId="0" borderId="94" xfId="0" applyNumberFormat="1" applyFont="1" applyBorder="1" applyAlignment="1">
      <alignment horizontal="center" vertical="center" wrapText="1"/>
    </xf>
    <xf numFmtId="0" fontId="38" fillId="0" borderId="94" xfId="0" applyFont="1" applyBorder="1" applyAlignment="1">
      <alignment horizontal="center" vertical="center" wrapText="1"/>
    </xf>
    <xf numFmtId="4" fontId="34" fillId="0" borderId="0" xfId="0" applyNumberFormat="1" applyFont="1"/>
    <xf numFmtId="171" fontId="95" fillId="0" borderId="0" xfId="93" applyNumberFormat="1" applyFont="1"/>
    <xf numFmtId="171" fontId="4" fillId="0" borderId="0" xfId="93" applyNumberFormat="1" applyAlignment="1">
      <alignment wrapText="1"/>
    </xf>
    <xf numFmtId="171" fontId="4" fillId="0" borderId="0" xfId="93" applyNumberFormat="1" applyAlignment="1">
      <alignment horizontal="center" vertical="center" wrapText="1"/>
    </xf>
    <xf numFmtId="171" fontId="95" fillId="0" borderId="0" xfId="93" applyNumberFormat="1" applyFont="1" applyAlignment="1">
      <alignment wrapText="1"/>
    </xf>
    <xf numFmtId="0" fontId="39" fillId="0" borderId="13" xfId="0" applyFont="1" applyBorder="1" applyAlignment="1">
      <alignment horizontal="justify" vertical="center" wrapText="1"/>
    </xf>
    <xf numFmtId="0" fontId="75" fillId="0" borderId="0" xfId="0" applyFont="1" applyAlignment="1">
      <alignment vertical="center"/>
    </xf>
    <xf numFmtId="4" fontId="94" fillId="0" borderId="0" xfId="40" applyNumberFormat="1" applyFont="1" applyAlignment="1" applyProtection="1">
      <alignment vertical="center" wrapText="1"/>
      <protection locked="0" hidden="1"/>
    </xf>
    <xf numFmtId="4" fontId="39" fillId="0" borderId="0" xfId="93" applyNumberFormat="1" applyFont="1" applyAlignment="1">
      <alignment horizontal="center" vertical="center"/>
    </xf>
    <xf numFmtId="0" fontId="34" fillId="0" borderId="34" xfId="93" applyFont="1" applyBorder="1" applyAlignment="1">
      <alignment horizontal="center" vertical="center"/>
    </xf>
    <xf numFmtId="4" fontId="38" fillId="0" borderId="0" xfId="93" applyNumberFormat="1" applyFont="1" applyAlignment="1">
      <alignment horizontal="center" vertical="center"/>
    </xf>
    <xf numFmtId="4" fontId="38" fillId="0" borderId="40" xfId="0" applyNumberFormat="1" applyFont="1" applyBorder="1" applyAlignment="1">
      <alignment horizontal="center"/>
    </xf>
    <xf numFmtId="0" fontId="65" fillId="0" borderId="93" xfId="0" applyFont="1" applyBorder="1" applyAlignment="1">
      <alignment horizontal="center" vertical="center" wrapText="1"/>
    </xf>
    <xf numFmtId="0" fontId="38" fillId="41" borderId="55" xfId="0" applyFont="1" applyFill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4" fontId="39" fillId="0" borderId="34" xfId="0" applyNumberFormat="1" applyFont="1" applyBorder="1" applyAlignment="1">
      <alignment horizontal="center" vertical="center" wrapText="1"/>
    </xf>
    <xf numFmtId="0" fontId="38" fillId="41" borderId="83" xfId="46" applyFont="1" applyFill="1" applyBorder="1" applyAlignment="1">
      <alignment horizontal="center" vertical="center"/>
    </xf>
    <xf numFmtId="4" fontId="38" fillId="41" borderId="84" xfId="0" applyNumberFormat="1" applyFont="1" applyFill="1" applyBorder="1" applyAlignment="1">
      <alignment horizontal="center" vertical="center"/>
    </xf>
    <xf numFmtId="0" fontId="39" fillId="0" borderId="39" xfId="46" applyFont="1" applyBorder="1" applyAlignment="1">
      <alignment horizontal="center" vertical="center"/>
    </xf>
    <xf numFmtId="0" fontId="39" fillId="0" borderId="50" xfId="46" applyFont="1" applyBorder="1" applyAlignment="1">
      <alignment horizontal="center" vertical="center"/>
    </xf>
    <xf numFmtId="4" fontId="62" fillId="47" borderId="63" xfId="0" applyNumberFormat="1" applyFont="1" applyFill="1" applyBorder="1" applyAlignment="1">
      <alignment horizontal="center" vertical="center" wrapText="1"/>
    </xf>
    <xf numFmtId="4" fontId="62" fillId="47" borderId="40" xfId="0" applyNumberFormat="1" applyFont="1" applyFill="1" applyBorder="1" applyAlignment="1">
      <alignment horizontal="center" vertical="center" wrapText="1"/>
    </xf>
    <xf numFmtId="4" fontId="62" fillId="44" borderId="85" xfId="0" applyNumberFormat="1" applyFont="1" applyFill="1" applyBorder="1" applyAlignment="1">
      <alignment horizontal="center" vertical="center" wrapText="1"/>
    </xf>
    <xf numFmtId="4" fontId="39" fillId="0" borderId="61" xfId="0" applyNumberFormat="1" applyFont="1" applyBorder="1" applyAlignment="1" applyProtection="1">
      <alignment horizontal="center" vertical="center"/>
      <protection locked="0"/>
    </xf>
    <xf numFmtId="4" fontId="39" fillId="0" borderId="61" xfId="0" applyNumberFormat="1" applyFont="1" applyBorder="1" applyAlignment="1">
      <alignment horizontal="center" vertical="center"/>
    </xf>
    <xf numFmtId="4" fontId="62" fillId="47" borderId="65" xfId="0" applyNumberFormat="1" applyFont="1" applyFill="1" applyBorder="1" applyAlignment="1">
      <alignment horizontal="center" vertical="center" wrapText="1"/>
    </xf>
    <xf numFmtId="4" fontId="39" fillId="0" borderId="11" xfId="0" applyNumberFormat="1" applyFont="1" applyBorder="1" applyAlignment="1" applyProtection="1">
      <alignment horizontal="center" vertical="center"/>
      <protection locked="0"/>
    </xf>
    <xf numFmtId="4" fontId="39" fillId="0" borderId="11" xfId="0" applyNumberFormat="1" applyFont="1" applyBorder="1" applyAlignment="1">
      <alignment horizontal="center" vertical="center"/>
    </xf>
    <xf numFmtId="4" fontId="39" fillId="0" borderId="34" xfId="0" applyNumberFormat="1" applyFont="1" applyBorder="1" applyAlignment="1" applyProtection="1">
      <alignment horizontal="center" vertical="center"/>
      <protection locked="0"/>
    </xf>
    <xf numFmtId="4" fontId="39" fillId="0" borderId="34" xfId="0" applyNumberFormat="1" applyFont="1" applyBorder="1" applyAlignment="1">
      <alignment horizontal="center" vertical="center"/>
    </xf>
    <xf numFmtId="4" fontId="38" fillId="41" borderId="84" xfId="0" applyNumberFormat="1" applyFont="1" applyFill="1" applyBorder="1" applyAlignment="1">
      <alignment horizontal="center" vertical="center" wrapText="1"/>
    </xf>
    <xf numFmtId="4" fontId="39" fillId="0" borderId="71" xfId="0" applyNumberFormat="1" applyFont="1" applyBorder="1" applyAlignment="1" applyProtection="1">
      <alignment horizontal="center" vertical="center"/>
      <protection locked="0"/>
    </xf>
    <xf numFmtId="4" fontId="39" fillId="0" borderId="71" xfId="0" applyNumberFormat="1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4" fontId="62" fillId="47" borderId="80" xfId="0" applyNumberFormat="1" applyFont="1" applyFill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/>
    </xf>
    <xf numFmtId="4" fontId="36" fillId="0" borderId="26" xfId="0" applyNumberFormat="1" applyFont="1" applyBorder="1" applyAlignment="1">
      <alignment vertical="center"/>
    </xf>
    <xf numFmtId="4" fontId="35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19" xfId="0" applyNumberFormat="1" applyFont="1" applyBorder="1" applyAlignment="1" applyProtection="1">
      <alignment vertical="center"/>
      <protection locked="0"/>
    </xf>
    <xf numFmtId="4" fontId="37" fillId="0" borderId="21" xfId="0" applyNumberFormat="1" applyFont="1" applyBorder="1" applyAlignment="1" applyProtection="1">
      <alignment vertical="center"/>
      <protection locked="0"/>
    </xf>
    <xf numFmtId="4" fontId="41" fillId="0" borderId="25" xfId="0" applyNumberFormat="1" applyFont="1" applyBorder="1" applyAlignment="1" applyProtection="1">
      <alignment vertical="center" wrapText="1"/>
      <protection locked="0"/>
    </xf>
    <xf numFmtId="4" fontId="41" fillId="0" borderId="31" xfId="0" applyNumberFormat="1" applyFont="1" applyBorder="1" applyAlignment="1" applyProtection="1">
      <alignment vertical="center" wrapText="1"/>
      <protection locked="0"/>
    </xf>
    <xf numFmtId="4" fontId="43" fillId="0" borderId="27" xfId="0" applyNumberFormat="1" applyFont="1" applyBorder="1" applyAlignment="1" applyProtection="1">
      <alignment vertical="center" wrapText="1"/>
      <protection locked="0"/>
    </xf>
    <xf numFmtId="4" fontId="37" fillId="44" borderId="18" xfId="0" applyNumberFormat="1" applyFont="1" applyFill="1" applyBorder="1" applyAlignment="1">
      <alignment vertical="center"/>
    </xf>
    <xf numFmtId="4" fontId="37" fillId="0" borderId="62" xfId="0" applyNumberFormat="1" applyFont="1" applyBorder="1" applyAlignment="1">
      <alignment horizontal="right" vertical="center" wrapText="1"/>
    </xf>
    <xf numFmtId="4" fontId="37" fillId="0" borderId="63" xfId="0" applyNumberFormat="1" applyFont="1" applyBorder="1" applyAlignment="1">
      <alignment horizontal="right" vertical="center" wrapText="1"/>
    </xf>
    <xf numFmtId="4" fontId="37" fillId="0" borderId="64" xfId="0" applyNumberFormat="1" applyFont="1" applyBorder="1" applyAlignment="1">
      <alignment horizontal="right" vertical="center" wrapText="1"/>
    </xf>
    <xf numFmtId="4" fontId="129" fillId="0" borderId="0" xfId="93" applyNumberFormat="1" applyFont="1"/>
    <xf numFmtId="4" fontId="37" fillId="0" borderId="18" xfId="0" applyNumberFormat="1" applyFont="1" applyBorder="1" applyAlignment="1" applyProtection="1">
      <alignment vertical="center"/>
      <protection locked="0"/>
    </xf>
    <xf numFmtId="4" fontId="126" fillId="0" borderId="47" xfId="0" applyNumberFormat="1" applyFont="1" applyBorder="1" applyAlignment="1" applyProtection="1">
      <alignment vertical="center"/>
      <protection locked="0"/>
    </xf>
    <xf numFmtId="4" fontId="35" fillId="0" borderId="57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4" fontId="35" fillId="0" borderId="42" xfId="0" applyNumberFormat="1" applyFont="1" applyBorder="1" applyAlignment="1" applyProtection="1">
      <alignment vertical="center"/>
      <protection locked="0"/>
    </xf>
    <xf numFmtId="4" fontId="34" fillId="0" borderId="52" xfId="0" applyNumberFormat="1" applyFont="1" applyBorder="1" applyAlignment="1" applyProtection="1">
      <alignment vertical="center"/>
      <protection locked="0"/>
    </xf>
    <xf numFmtId="4" fontId="34" fillId="0" borderId="68" xfId="0" applyNumberFormat="1" applyFont="1" applyBorder="1" applyAlignment="1" applyProtection="1">
      <alignment vertical="center"/>
      <protection locked="0"/>
    </xf>
    <xf numFmtId="4" fontId="34" fillId="0" borderId="26" xfId="0" applyNumberFormat="1" applyFont="1" applyBorder="1" applyAlignment="1" applyProtection="1">
      <alignment vertical="center"/>
      <protection locked="0"/>
    </xf>
    <xf numFmtId="4" fontId="34" fillId="0" borderId="48" xfId="0" applyNumberFormat="1" applyFont="1" applyBorder="1" applyAlignment="1" applyProtection="1">
      <alignment vertical="center"/>
      <protection locked="0"/>
    </xf>
    <xf numFmtId="4" fontId="34" fillId="0" borderId="59" xfId="0" applyNumberFormat="1" applyFont="1" applyBorder="1" applyAlignment="1" applyProtection="1">
      <alignment horizontal="right" vertical="center"/>
      <protection locked="0"/>
    </xf>
    <xf numFmtId="4" fontId="34" fillId="0" borderId="24" xfId="0" applyNumberFormat="1" applyFont="1" applyBorder="1" applyAlignment="1" applyProtection="1">
      <alignment horizontal="right" vertical="center" wrapText="1"/>
      <protection locked="0"/>
    </xf>
    <xf numFmtId="4" fontId="34" fillId="0" borderId="47" xfId="0" applyNumberFormat="1" applyFont="1" applyBorder="1" applyAlignment="1" applyProtection="1">
      <alignment vertical="center"/>
      <protection locked="0"/>
    </xf>
    <xf numFmtId="0" fontId="4" fillId="0" borderId="64" xfId="93" applyBorder="1"/>
    <xf numFmtId="0" fontId="95" fillId="0" borderId="0" xfId="93" applyFont="1" applyAlignment="1">
      <alignment horizontal="center" wrapText="1"/>
    </xf>
    <xf numFmtId="170" fontId="2" fillId="0" borderId="0" xfId="138" applyNumberFormat="1"/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31" xfId="0" applyNumberFormat="1" applyFont="1" applyBorder="1" applyAlignment="1" applyProtection="1">
      <alignment vertical="center"/>
      <protection locked="0"/>
    </xf>
    <xf numFmtId="4" fontId="35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41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60" xfId="0" applyNumberFormat="1" applyFont="1" applyFill="1" applyBorder="1" applyAlignment="1">
      <alignment horizontal="center" vertical="center" wrapText="1"/>
    </xf>
    <xf numFmtId="4" fontId="35" fillId="44" borderId="60" xfId="0" applyNumberFormat="1" applyFont="1" applyFill="1" applyBorder="1" applyAlignment="1" applyProtection="1">
      <alignment horizontal="center" vertical="center"/>
      <protection locked="0"/>
    </xf>
    <xf numFmtId="4" fontId="35" fillId="0" borderId="60" xfId="0" applyNumberFormat="1" applyFont="1" applyBorder="1" applyAlignment="1" applyProtection="1">
      <alignment vertical="center" wrapText="1"/>
      <protection locked="0"/>
    </xf>
    <xf numFmtId="4" fontId="34" fillId="0" borderId="59" xfId="0" applyNumberFormat="1" applyFont="1" applyBorder="1" applyAlignment="1" applyProtection="1">
      <alignment vertical="center"/>
      <protection locked="0"/>
    </xf>
    <xf numFmtId="4" fontId="34" fillId="0" borderId="44" xfId="0" applyNumberFormat="1" applyFont="1" applyBorder="1" applyAlignment="1" applyProtection="1">
      <alignment vertical="center"/>
      <protection locked="0"/>
    </xf>
    <xf numFmtId="4" fontId="34" fillId="0" borderId="25" xfId="0" applyNumberFormat="1" applyFont="1" applyBorder="1" applyAlignment="1" applyProtection="1">
      <alignment vertical="center"/>
      <protection locked="0"/>
    </xf>
    <xf numFmtId="4" fontId="35" fillId="41" borderId="60" xfId="0" applyNumberFormat="1" applyFont="1" applyFill="1" applyBorder="1" applyAlignment="1">
      <alignment horizontal="left" vertical="center"/>
    </xf>
    <xf numFmtId="4" fontId="34" fillId="0" borderId="58" xfId="0" applyNumberFormat="1" applyFont="1" applyBorder="1" applyAlignment="1" applyProtection="1">
      <alignment vertical="center"/>
      <protection locked="0"/>
    </xf>
    <xf numFmtId="0" fontId="34" fillId="0" borderId="0" xfId="43" applyFont="1" applyAlignment="1">
      <alignment horizontal="left" wrapText="1"/>
    </xf>
    <xf numFmtId="0" fontId="85" fillId="0" borderId="13" xfId="0" applyFont="1" applyBorder="1" applyAlignment="1">
      <alignment horizontal="center" wrapText="1"/>
    </xf>
    <xf numFmtId="0" fontId="85" fillId="44" borderId="106" xfId="0" applyFont="1" applyFill="1" applyBorder="1"/>
    <xf numFmtId="0" fontId="131" fillId="0" borderId="0" xfId="0" applyFont="1" applyAlignment="1">
      <alignment horizontal="left"/>
    </xf>
    <xf numFmtId="4" fontId="75" fillId="0" borderId="0" xfId="0" applyNumberFormat="1" applyFont="1" applyAlignment="1">
      <alignment vertical="center"/>
    </xf>
    <xf numFmtId="0" fontId="4" fillId="0" borderId="0" xfId="0" applyFont="1"/>
    <xf numFmtId="4" fontId="6" fillId="45" borderId="109" xfId="0" applyNumberFormat="1" applyFont="1" applyFill="1" applyBorder="1" applyAlignment="1">
      <alignment horizontal="right"/>
    </xf>
    <xf numFmtId="4" fontId="6" fillId="46" borderId="109" xfId="0" applyNumberFormat="1" applyFont="1" applyFill="1" applyBorder="1" applyAlignment="1">
      <alignment horizontal="right"/>
    </xf>
    <xf numFmtId="4" fontId="133" fillId="0" borderId="109" xfId="0" applyNumberFormat="1" applyFont="1" applyBorder="1" applyAlignment="1">
      <alignment horizontal="right"/>
    </xf>
    <xf numFmtId="4" fontId="133" fillId="0" borderId="125" xfId="0" applyNumberFormat="1" applyFont="1" applyBorder="1" applyAlignment="1">
      <alignment horizontal="right"/>
    </xf>
    <xf numFmtId="4" fontId="6" fillId="0" borderId="109" xfId="0" applyNumberFormat="1" applyFont="1" applyBorder="1" applyAlignment="1">
      <alignment horizontal="right"/>
    </xf>
    <xf numFmtId="4" fontId="6" fillId="45" borderId="111" xfId="0" applyNumberFormat="1" applyFont="1" applyFill="1" applyBorder="1" applyAlignment="1">
      <alignment horizontal="right"/>
    </xf>
    <xf numFmtId="0" fontId="35" fillId="44" borderId="123" xfId="0" applyFont="1" applyFill="1" applyBorder="1" applyAlignment="1">
      <alignment horizontal="left" wrapText="1"/>
    </xf>
    <xf numFmtId="4" fontId="35" fillId="44" borderId="22" xfId="40" applyNumberFormat="1" applyFont="1" applyFill="1" applyBorder="1" applyAlignment="1">
      <alignment vertical="center"/>
    </xf>
    <xf numFmtId="0" fontId="35" fillId="44" borderId="124" xfId="0" applyFont="1" applyFill="1" applyBorder="1" applyAlignment="1">
      <alignment horizontal="left" wrapText="1"/>
    </xf>
    <xf numFmtId="4" fontId="35" fillId="44" borderId="66" xfId="40" applyNumberFormat="1" applyFont="1" applyFill="1" applyBorder="1" applyAlignment="1">
      <alignment vertical="center"/>
    </xf>
    <xf numFmtId="0" fontId="35" fillId="45" borderId="112" xfId="0" applyFont="1" applyFill="1" applyBorder="1" applyAlignment="1">
      <alignment horizontal="center" wrapText="1"/>
    </xf>
    <xf numFmtId="0" fontId="35" fillId="45" borderId="113" xfId="0" applyFont="1" applyFill="1" applyBorder="1" applyAlignment="1">
      <alignment horizontal="center" wrapText="1"/>
    </xf>
    <xf numFmtId="0" fontId="35" fillId="45" borderId="114" xfId="0" applyFont="1" applyFill="1" applyBorder="1" applyAlignment="1">
      <alignment horizontal="center" wrapText="1"/>
    </xf>
    <xf numFmtId="0" fontId="34" fillId="0" borderId="104" xfId="0" applyFont="1" applyBorder="1" applyAlignment="1">
      <alignment wrapText="1"/>
    </xf>
    <xf numFmtId="4" fontId="34" fillId="0" borderId="102" xfId="0" applyNumberFormat="1" applyFont="1" applyBorder="1" applyAlignment="1">
      <alignment horizontal="right"/>
    </xf>
    <xf numFmtId="4" fontId="34" fillId="0" borderId="103" xfId="0" applyNumberFormat="1" applyFont="1" applyBorder="1" applyAlignment="1">
      <alignment horizontal="right"/>
    </xf>
    <xf numFmtId="0" fontId="34" fillId="0" borderId="115" xfId="0" applyFont="1" applyBorder="1" applyAlignment="1">
      <alignment wrapText="1"/>
    </xf>
    <xf numFmtId="0" fontId="34" fillId="0" borderId="116" xfId="0" applyFont="1" applyBorder="1" applyAlignment="1">
      <alignment wrapText="1"/>
    </xf>
    <xf numFmtId="0" fontId="34" fillId="0" borderId="117" xfId="0" applyFont="1" applyBorder="1" applyAlignment="1">
      <alignment wrapText="1"/>
    </xf>
    <xf numFmtId="0" fontId="34" fillId="0" borderId="118" xfId="0" applyFont="1" applyBorder="1" applyAlignment="1">
      <alignment wrapText="1"/>
    </xf>
    <xf numFmtId="4" fontId="34" fillId="0" borderId="119" xfId="0" applyNumberFormat="1" applyFont="1" applyBorder="1" applyAlignment="1">
      <alignment horizontal="right"/>
    </xf>
    <xf numFmtId="2" fontId="34" fillId="0" borderId="119" xfId="0" applyNumberFormat="1" applyFont="1" applyBorder="1" applyAlignment="1">
      <alignment horizontal="right"/>
    </xf>
    <xf numFmtId="2" fontId="34" fillId="0" borderId="120" xfId="0" applyNumberFormat="1" applyFont="1" applyBorder="1" applyAlignment="1">
      <alignment horizontal="right"/>
    </xf>
    <xf numFmtId="0" fontId="35" fillId="45" borderId="28" xfId="0" applyFont="1" applyFill="1" applyBorder="1" applyAlignment="1">
      <alignment horizontal="center" wrapText="1"/>
    </xf>
    <xf numFmtId="0" fontId="35" fillId="45" borderId="11" xfId="0" applyFont="1" applyFill="1" applyBorder="1" applyAlignment="1">
      <alignment horizontal="center" wrapText="1"/>
    </xf>
    <xf numFmtId="0" fontId="35" fillId="0" borderId="24" xfId="0" applyFont="1" applyBorder="1" applyAlignment="1">
      <alignment wrapText="1"/>
    </xf>
    <xf numFmtId="4" fontId="35" fillId="0" borderId="28" xfId="0" applyNumberFormat="1" applyFont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vertical="center"/>
    </xf>
    <xf numFmtId="0" fontId="34" fillId="0" borderId="24" xfId="0" applyFont="1" applyBorder="1" applyAlignment="1">
      <alignment vertical="center" wrapText="1"/>
    </xf>
    <xf numFmtId="2" fontId="34" fillId="0" borderId="28" xfId="0" applyNumberFormat="1" applyFont="1" applyBorder="1" applyAlignment="1">
      <alignment wrapText="1"/>
    </xf>
    <xf numFmtId="4" fontId="34" fillId="0" borderId="11" xfId="0" applyNumberFormat="1" applyFont="1" applyBorder="1" applyAlignment="1">
      <alignment wrapText="1"/>
    </xf>
    <xf numFmtId="2" fontId="34" fillId="0" borderId="11" xfId="0" applyNumberFormat="1" applyFont="1" applyBorder="1" applyAlignment="1">
      <alignment wrapText="1"/>
    </xf>
    <xf numFmtId="0" fontId="34" fillId="0" borderId="66" xfId="0" applyFont="1" applyBorder="1" applyAlignment="1">
      <alignment vertical="center" wrapText="1"/>
    </xf>
    <xf numFmtId="4" fontId="34" fillId="0" borderId="33" xfId="0" applyNumberFormat="1" applyFont="1" applyBorder="1" applyAlignment="1">
      <alignment horizontal="right"/>
    </xf>
    <xf numFmtId="4" fontId="34" fillId="0" borderId="34" xfId="0" applyNumberFormat="1" applyFont="1" applyBorder="1" applyAlignment="1">
      <alignment horizontal="right"/>
    </xf>
    <xf numFmtId="2" fontId="34" fillId="0" borderId="34" xfId="0" applyNumberFormat="1" applyFont="1" applyBorder="1" applyAlignment="1">
      <alignment horizontal="right"/>
    </xf>
    <xf numFmtId="4" fontId="34" fillId="0" borderId="34" xfId="0" applyNumberFormat="1" applyFont="1" applyBorder="1" applyAlignment="1">
      <alignment vertical="center"/>
    </xf>
    <xf numFmtId="0" fontId="35" fillId="44" borderId="26" xfId="0" applyFont="1" applyFill="1" applyBorder="1" applyAlignment="1">
      <alignment wrapText="1"/>
    </xf>
    <xf numFmtId="4" fontId="35" fillId="44" borderId="35" xfId="0" applyNumberFormat="1" applyFont="1" applyFill="1" applyBorder="1" applyAlignment="1">
      <alignment horizontal="right"/>
    </xf>
    <xf numFmtId="4" fontId="35" fillId="44" borderId="36" xfId="0" applyNumberFormat="1" applyFont="1" applyFill="1" applyBorder="1" applyAlignment="1">
      <alignment horizontal="right"/>
    </xf>
    <xf numFmtId="4" fontId="35" fillId="44" borderId="37" xfId="0" applyNumberFormat="1" applyFont="1" applyFill="1" applyBorder="1" applyAlignment="1">
      <alignment horizontal="right"/>
    </xf>
    <xf numFmtId="0" fontId="34" fillId="45" borderId="39" xfId="0" applyFont="1" applyFill="1" applyBorder="1" applyAlignment="1">
      <alignment horizontal="center" wrapText="1"/>
    </xf>
    <xf numFmtId="0" fontId="34" fillId="0" borderId="33" xfId="0" applyFont="1" applyBorder="1" applyAlignment="1">
      <alignment wrapText="1"/>
    </xf>
    <xf numFmtId="4" fontId="34" fillId="0" borderId="40" xfId="0" applyNumberFormat="1" applyFont="1" applyBorder="1" applyAlignment="1">
      <alignment horizontal="right"/>
    </xf>
    <xf numFmtId="4" fontId="34" fillId="0" borderId="116" xfId="0" applyNumberFormat="1" applyFont="1" applyBorder="1" applyAlignment="1">
      <alignment horizontal="right"/>
    </xf>
    <xf numFmtId="4" fontId="34" fillId="0" borderId="117" xfId="0" applyNumberFormat="1" applyFont="1" applyBorder="1" applyAlignment="1">
      <alignment horizontal="right"/>
    </xf>
    <xf numFmtId="4" fontId="34" fillId="0" borderId="121" xfId="0" applyNumberFormat="1" applyFont="1" applyBorder="1" applyAlignment="1">
      <alignment horizontal="right"/>
    </xf>
    <xf numFmtId="4" fontId="34" fillId="0" borderId="122" xfId="0" applyNumberFormat="1" applyFont="1" applyBorder="1" applyAlignment="1">
      <alignment horizontal="right"/>
    </xf>
    <xf numFmtId="4" fontId="34" fillId="0" borderId="107" xfId="0" applyNumberFormat="1" applyFont="1" applyBorder="1" applyAlignment="1">
      <alignment horizontal="right"/>
    </xf>
    <xf numFmtId="4" fontId="34" fillId="0" borderId="108" xfId="0" applyNumberFormat="1" applyFont="1" applyBorder="1" applyAlignment="1">
      <alignment horizontal="right"/>
    </xf>
    <xf numFmtId="4" fontId="35" fillId="0" borderId="0" xfId="0" applyNumberFormat="1" applyFont="1" applyAlignment="1">
      <alignment vertical="center" wrapText="1"/>
    </xf>
    <xf numFmtId="4" fontId="35" fillId="41" borderId="41" xfId="0" applyNumberFormat="1" applyFont="1" applyFill="1" applyBorder="1" applyAlignment="1">
      <alignment horizontal="center" vertical="center" wrapText="1"/>
    </xf>
    <xf numFmtId="4" fontId="35" fillId="0" borderId="22" xfId="0" applyNumberFormat="1" applyFont="1" applyBorder="1" applyAlignment="1">
      <alignment vertical="center"/>
    </xf>
    <xf numFmtId="4" fontId="35" fillId="0" borderId="42" xfId="0" applyNumberFormat="1" applyFont="1" applyBorder="1" applyAlignment="1">
      <alignment vertical="center"/>
    </xf>
    <xf numFmtId="4" fontId="35" fillId="0" borderId="32" xfId="0" applyNumberFormat="1" applyFont="1" applyBorder="1" applyAlignment="1">
      <alignment vertical="center"/>
    </xf>
    <xf numFmtId="4" fontId="35" fillId="0" borderId="43" xfId="0" applyNumberFormat="1" applyFont="1" applyBorder="1" applyAlignment="1">
      <alignment vertical="center"/>
    </xf>
    <xf numFmtId="4" fontId="35" fillId="0" borderId="24" xfId="0" applyNumberFormat="1" applyFont="1" applyBorder="1" applyAlignment="1">
      <alignment vertical="center"/>
    </xf>
    <xf numFmtId="4" fontId="35" fillId="0" borderId="44" xfId="0" applyNumberFormat="1" applyFont="1" applyBorder="1" applyAlignment="1">
      <alignment vertical="center"/>
    </xf>
    <xf numFmtId="4" fontId="34" fillId="0" borderId="32" xfId="0" applyNumberFormat="1" applyFont="1" applyBorder="1" applyAlignment="1">
      <alignment vertical="center"/>
    </xf>
    <xf numFmtId="4" fontId="34" fillId="0" borderId="43" xfId="0" applyNumberFormat="1" applyFont="1" applyBorder="1" applyAlignment="1">
      <alignment vertical="center"/>
    </xf>
    <xf numFmtId="3" fontId="34" fillId="0" borderId="24" xfId="0" applyNumberFormat="1" applyFont="1" applyBorder="1" applyAlignment="1">
      <alignment vertical="center"/>
    </xf>
    <xf numFmtId="4" fontId="34" fillId="0" borderId="44" xfId="0" applyNumberFormat="1" applyFont="1" applyBorder="1" applyAlignment="1">
      <alignment vertical="center"/>
    </xf>
    <xf numFmtId="4" fontId="34" fillId="0" borderId="24" xfId="0" applyNumberFormat="1" applyFont="1" applyBorder="1" applyAlignment="1">
      <alignment vertical="center"/>
    </xf>
    <xf numFmtId="4" fontId="34" fillId="0" borderId="45" xfId="0" applyNumberFormat="1" applyFont="1" applyBorder="1" applyAlignment="1">
      <alignment vertical="center"/>
    </xf>
    <xf numFmtId="4" fontId="34" fillId="0" borderId="46" xfId="0" applyNumberFormat="1" applyFont="1" applyBorder="1" applyAlignment="1">
      <alignment vertical="center"/>
    </xf>
    <xf numFmtId="3" fontId="34" fillId="0" borderId="47" xfId="0" applyNumberFormat="1" applyFont="1" applyBorder="1" applyAlignment="1">
      <alignment vertical="center"/>
    </xf>
    <xf numFmtId="4" fontId="34" fillId="0" borderId="48" xfId="0" applyNumberFormat="1" applyFont="1" applyBorder="1" applyAlignment="1">
      <alignment vertical="center"/>
    </xf>
    <xf numFmtId="4" fontId="34" fillId="0" borderId="47" xfId="0" applyNumberFormat="1" applyFont="1" applyBorder="1" applyAlignment="1">
      <alignment vertical="center"/>
    </xf>
    <xf numFmtId="4" fontId="35" fillId="41" borderId="50" xfId="0" applyNumberFormat="1" applyFont="1" applyFill="1" applyBorder="1" applyAlignment="1">
      <alignment vertical="center"/>
    </xf>
    <xf numFmtId="4" fontId="35" fillId="41" borderId="51" xfId="0" applyNumberFormat="1" applyFont="1" applyFill="1" applyBorder="1" applyAlignment="1">
      <alignment vertical="center"/>
    </xf>
    <xf numFmtId="4" fontId="35" fillId="41" borderId="18" xfId="0" applyNumberFormat="1" applyFont="1" applyFill="1" applyBorder="1" applyAlignment="1">
      <alignment vertical="center"/>
    </xf>
    <xf numFmtId="4" fontId="35" fillId="0" borderId="52" xfId="0" applyNumberFormat="1" applyFont="1" applyBorder="1" applyAlignment="1">
      <alignment vertical="center"/>
    </xf>
    <xf numFmtId="4" fontId="35" fillId="0" borderId="53" xfId="0" applyNumberFormat="1" applyFont="1" applyBorder="1" applyAlignment="1">
      <alignment vertical="center"/>
    </xf>
    <xf numFmtId="4" fontId="35" fillId="0" borderId="29" xfId="0" applyNumberFormat="1" applyFont="1" applyBorder="1" applyAlignment="1">
      <alignment vertical="center"/>
    </xf>
    <xf numFmtId="4" fontId="35" fillId="0" borderId="54" xfId="0" applyNumberFormat="1" applyFont="1" applyBorder="1" applyAlignment="1">
      <alignment vertical="center"/>
    </xf>
    <xf numFmtId="4" fontId="35" fillId="41" borderId="41" xfId="0" applyNumberFormat="1" applyFont="1" applyFill="1" applyBorder="1" applyAlignment="1">
      <alignment vertical="center"/>
    </xf>
    <xf numFmtId="170" fontId="4" fillId="0" borderId="0" xfId="0" applyNumberFormat="1" applyFont="1"/>
    <xf numFmtId="4" fontId="34" fillId="0" borderId="0" xfId="0" applyNumberFormat="1" applyFont="1" applyAlignment="1" applyProtection="1">
      <alignment vertical="center"/>
      <protection locked="0"/>
    </xf>
    <xf numFmtId="49" fontId="34" fillId="0" borderId="22" xfId="0" applyNumberFormat="1" applyFont="1" applyBorder="1" applyAlignment="1" applyProtection="1">
      <alignment vertical="center"/>
      <protection locked="0"/>
    </xf>
    <xf numFmtId="49" fontId="35" fillId="0" borderId="52" xfId="0" applyNumberFormat="1" applyFont="1" applyBorder="1" applyAlignment="1" applyProtection="1">
      <alignment vertical="center"/>
      <protection locked="0"/>
    </xf>
    <xf numFmtId="4" fontId="35" fillId="0" borderId="58" xfId="0" applyNumberFormat="1" applyFont="1" applyBorder="1" applyAlignment="1" applyProtection="1">
      <alignment vertical="center"/>
      <protection locked="0"/>
    </xf>
    <xf numFmtId="49" fontId="34" fillId="0" borderId="52" xfId="0" applyNumberFormat="1" applyFont="1" applyBorder="1" applyAlignment="1" applyProtection="1">
      <alignment vertical="center"/>
      <protection locked="0"/>
    </xf>
    <xf numFmtId="4" fontId="35" fillId="0" borderId="59" xfId="0" applyNumberFormat="1" applyFont="1" applyBorder="1" applyAlignment="1">
      <alignment vertical="center"/>
    </xf>
    <xf numFmtId="4" fontId="34" fillId="0" borderId="59" xfId="0" applyNumberFormat="1" applyFont="1" applyBorder="1" applyAlignment="1">
      <alignment vertical="center"/>
    </xf>
    <xf numFmtId="49" fontId="34" fillId="0" borderId="24" xfId="0" applyNumberFormat="1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4" fontId="35" fillId="41" borderId="41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1" xfId="0" applyNumberFormat="1" applyFont="1" applyBorder="1" applyAlignment="1" applyProtection="1">
      <alignment horizontal="right" vertical="center" wrapText="1"/>
      <protection locked="0"/>
    </xf>
    <xf numFmtId="4" fontId="34" fillId="0" borderId="11" xfId="0" applyNumberFormat="1" applyFont="1" applyBorder="1" applyAlignment="1" applyProtection="1">
      <alignment horizontal="right" vertical="center" wrapText="1"/>
      <protection locked="0"/>
    </xf>
    <xf numFmtId="4" fontId="34" fillId="0" borderId="34" xfId="0" applyNumberFormat="1" applyFont="1" applyBorder="1" applyAlignment="1" applyProtection="1">
      <alignment horizontal="right" vertical="center" wrapText="1"/>
      <protection locked="0"/>
    </xf>
    <xf numFmtId="4" fontId="34" fillId="44" borderId="61" xfId="0" applyNumberFormat="1" applyFont="1" applyFill="1" applyBorder="1" applyAlignment="1" applyProtection="1">
      <alignment horizontal="right" vertical="center" wrapText="1"/>
      <protection locked="0"/>
    </xf>
    <xf numFmtId="166" fontId="34" fillId="0" borderId="11" xfId="0" applyNumberFormat="1" applyFont="1" applyBorder="1" applyAlignment="1" applyProtection="1">
      <alignment horizontal="right" vertical="center" wrapText="1"/>
      <protection locked="0"/>
    </xf>
    <xf numFmtId="166" fontId="34" fillId="0" borderId="34" xfId="0" applyNumberFormat="1" applyFont="1" applyBorder="1" applyAlignment="1" applyProtection="1">
      <alignment horizontal="right" vertical="center" wrapText="1"/>
      <protection locked="0"/>
    </xf>
    <xf numFmtId="4" fontId="34" fillId="0" borderId="53" xfId="0" applyNumberFormat="1" applyFont="1" applyBorder="1" applyAlignment="1" applyProtection="1">
      <alignment horizontal="right" vertical="center" wrapText="1"/>
      <protection locked="0"/>
    </xf>
    <xf numFmtId="4" fontId="34" fillId="0" borderId="52" xfId="0" applyNumberFormat="1" applyFont="1" applyBorder="1" applyAlignment="1" applyProtection="1">
      <alignment horizontal="right" vertical="center" wrapText="1"/>
      <protection locked="0"/>
    </xf>
    <xf numFmtId="4" fontId="34" fillId="0" borderId="44" xfId="0" applyNumberFormat="1" applyFont="1" applyBorder="1" applyAlignment="1" applyProtection="1">
      <alignment horizontal="right" vertical="center" wrapText="1"/>
      <protection locked="0"/>
    </xf>
    <xf numFmtId="4" fontId="35" fillId="44" borderId="18" xfId="0" applyNumberFormat="1" applyFont="1" applyFill="1" applyBorder="1" applyAlignment="1">
      <alignment horizontal="right" vertical="center" wrapText="1"/>
    </xf>
    <xf numFmtId="4" fontId="35" fillId="41" borderId="19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Alignment="1">
      <alignment vertical="center" wrapText="1"/>
    </xf>
    <xf numFmtId="4" fontId="34" fillId="0" borderId="27" xfId="0" applyNumberFormat="1" applyFont="1" applyBorder="1" applyAlignment="1">
      <alignment horizontal="right" vertical="center" wrapText="1"/>
    </xf>
    <xf numFmtId="4" fontId="35" fillId="41" borderId="14" xfId="0" applyNumberFormat="1" applyFont="1" applyFill="1" applyBorder="1" applyAlignment="1">
      <alignment horizontal="right" vertical="center" wrapText="1"/>
    </xf>
    <xf numFmtId="4" fontId="35" fillId="41" borderId="66" xfId="0" applyNumberFormat="1" applyFont="1" applyFill="1" applyBorder="1" applyAlignment="1">
      <alignment horizontal="center" vertical="center"/>
    </xf>
    <xf numFmtId="4" fontId="34" fillId="0" borderId="24" xfId="0" applyNumberFormat="1" applyFont="1" applyBorder="1" applyAlignment="1">
      <alignment horizontal="left" vertical="center" wrapText="1"/>
    </xf>
    <xf numFmtId="4" fontId="34" fillId="0" borderId="52" xfId="0" applyNumberFormat="1" applyFont="1" applyBorder="1" applyAlignment="1">
      <alignment vertical="center"/>
    </xf>
    <xf numFmtId="4" fontId="34" fillId="0" borderId="53" xfId="0" applyNumberFormat="1" applyFont="1" applyBorder="1" applyAlignment="1">
      <alignment vertical="center"/>
    </xf>
    <xf numFmtId="4" fontId="43" fillId="0" borderId="59" xfId="0" applyNumberFormat="1" applyFont="1" applyBorder="1" applyAlignment="1">
      <alignment horizontal="left" vertical="center" wrapText="1"/>
    </xf>
    <xf numFmtId="4" fontId="43" fillId="0" borderId="67" xfId="0" applyNumberFormat="1" applyFont="1" applyBorder="1" applyAlignment="1">
      <alignment horizontal="left" vertical="center" wrapText="1"/>
    </xf>
    <xf numFmtId="4" fontId="34" fillId="0" borderId="20" xfId="0" applyNumberFormat="1" applyFont="1" applyBorder="1" applyAlignment="1">
      <alignment vertical="center"/>
    </xf>
    <xf numFmtId="4" fontId="35" fillId="41" borderId="60" xfId="0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4" fillId="0" borderId="42" xfId="0" applyNumberFormat="1" applyFont="1" applyBorder="1" applyAlignment="1" applyProtection="1">
      <alignment horizontal="right" vertical="center"/>
      <protection locked="0"/>
    </xf>
    <xf numFmtId="4" fontId="34" fillId="0" borderId="22" xfId="0" applyNumberFormat="1" applyFont="1" applyBorder="1" applyAlignment="1" applyProtection="1">
      <alignment horizontal="right" vertical="center" wrapText="1"/>
      <protection locked="0"/>
    </xf>
    <xf numFmtId="4" fontId="34" fillId="0" borderId="44" xfId="0" applyNumberFormat="1" applyFont="1" applyBorder="1" applyAlignment="1" applyProtection="1">
      <alignment horizontal="right" vertical="center"/>
      <protection locked="0"/>
    </xf>
    <xf numFmtId="4" fontId="34" fillId="0" borderId="48" xfId="0" applyNumberFormat="1" applyFont="1" applyBorder="1" applyAlignment="1" applyProtection="1">
      <alignment horizontal="right" vertical="center"/>
      <protection locked="0"/>
    </xf>
    <xf numFmtId="4" fontId="34" fillId="0" borderId="47" xfId="0" applyNumberFormat="1" applyFont="1" applyBorder="1" applyAlignment="1" applyProtection="1">
      <alignment horizontal="right" vertical="center" wrapText="1"/>
      <protection locked="0"/>
    </xf>
    <xf numFmtId="4" fontId="34" fillId="0" borderId="68" xfId="0" applyNumberFormat="1" applyFont="1" applyBorder="1" applyAlignment="1" applyProtection="1">
      <alignment horizontal="right" vertical="center"/>
      <protection locked="0"/>
    </xf>
    <xf numFmtId="4" fontId="34" fillId="0" borderId="0" xfId="0" applyNumberFormat="1" applyFont="1" applyAlignment="1" applyProtection="1">
      <alignment horizontal="right" vertical="center"/>
      <protection locked="0"/>
    </xf>
    <xf numFmtId="4" fontId="34" fillId="0" borderId="20" xfId="0" applyNumberFormat="1" applyFont="1" applyBorder="1" applyAlignment="1" applyProtection="1">
      <alignment horizontal="right" vertical="center" wrapText="1"/>
      <protection locked="0"/>
    </xf>
    <xf numFmtId="4" fontId="35" fillId="44" borderId="19" xfId="0" applyNumberFormat="1" applyFont="1" applyFill="1" applyBorder="1" applyAlignment="1">
      <alignment horizontal="right" vertical="center"/>
    </xf>
    <xf numFmtId="4" fontId="35" fillId="41" borderId="18" xfId="0" applyNumberFormat="1" applyFont="1" applyFill="1" applyBorder="1" applyAlignment="1">
      <alignment horizontal="right" vertical="center"/>
    </xf>
    <xf numFmtId="4" fontId="35" fillId="0" borderId="69" xfId="0" applyNumberFormat="1" applyFont="1" applyBorder="1" applyAlignment="1" applyProtection="1">
      <alignment horizontal="right" vertical="center" wrapText="1"/>
      <protection locked="0"/>
    </xf>
    <xf numFmtId="4" fontId="35" fillId="0" borderId="55" xfId="0" applyNumberFormat="1" applyFont="1" applyBorder="1" applyAlignment="1">
      <alignment horizontal="right" vertical="center" wrapText="1"/>
    </xf>
    <xf numFmtId="166" fontId="34" fillId="0" borderId="61" xfId="0" applyNumberFormat="1" applyFont="1" applyBorder="1" applyAlignment="1" applyProtection="1">
      <alignment horizontal="right" vertical="center" wrapText="1"/>
      <protection locked="0"/>
    </xf>
    <xf numFmtId="166" fontId="34" fillId="0" borderId="31" xfId="0" applyNumberFormat="1" applyFont="1" applyBorder="1" applyAlignment="1" applyProtection="1">
      <alignment horizontal="right" vertical="center" wrapText="1"/>
      <protection locked="0"/>
    </xf>
    <xf numFmtId="166" fontId="34" fillId="0" borderId="30" xfId="0" applyNumberFormat="1" applyFont="1" applyBorder="1" applyAlignment="1" applyProtection="1">
      <alignment horizontal="right" vertical="center" wrapText="1"/>
      <protection locked="0"/>
    </xf>
    <xf numFmtId="166" fontId="34" fillId="0" borderId="25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5" fillId="44" borderId="18" xfId="0" applyNumberFormat="1" applyFont="1" applyFill="1" applyBorder="1" applyAlignment="1">
      <alignment horizontal="right" vertical="center"/>
    </xf>
    <xf numFmtId="4" fontId="35" fillId="0" borderId="53" xfId="0" applyNumberFormat="1" applyFont="1" applyBorder="1" applyAlignment="1" applyProtection="1">
      <alignment horizontal="right" vertical="center"/>
      <protection locked="0"/>
    </xf>
    <xf numFmtId="4" fontId="35" fillId="0" borderId="52" xfId="0" applyNumberFormat="1" applyFont="1" applyBorder="1" applyAlignment="1" applyProtection="1">
      <alignment horizontal="right" vertical="center"/>
      <protection locked="0"/>
    </xf>
    <xf numFmtId="4" fontId="34" fillId="0" borderId="53" xfId="0" applyNumberFormat="1" applyFont="1" applyBorder="1" applyAlignment="1" applyProtection="1">
      <alignment horizontal="right" vertical="center"/>
      <protection locked="0"/>
    </xf>
    <xf numFmtId="4" fontId="34" fillId="0" borderId="52" xfId="0" applyNumberFormat="1" applyFont="1" applyBorder="1" applyAlignment="1" applyProtection="1">
      <alignment horizontal="right" vertical="center"/>
      <protection locked="0"/>
    </xf>
    <xf numFmtId="4" fontId="34" fillId="0" borderId="24" xfId="0" applyNumberFormat="1" applyFont="1" applyBorder="1" applyAlignment="1" applyProtection="1">
      <alignment horizontal="right" vertical="center"/>
      <protection locked="0"/>
    </xf>
    <xf numFmtId="4" fontId="34" fillId="0" borderId="47" xfId="0" applyNumberFormat="1" applyFont="1" applyBorder="1" applyAlignment="1" applyProtection="1">
      <alignment horizontal="right" vertical="center"/>
      <protection locked="0"/>
    </xf>
    <xf numFmtId="4" fontId="35" fillId="0" borderId="0" xfId="0" applyNumberFormat="1" applyFont="1" applyAlignment="1">
      <alignment vertical="center"/>
    </xf>
    <xf numFmtId="4" fontId="34" fillId="0" borderId="26" xfId="0" applyNumberFormat="1" applyFont="1" applyBorder="1" applyAlignment="1" applyProtection="1">
      <alignment horizontal="right" vertical="center"/>
      <protection locked="0"/>
    </xf>
    <xf numFmtId="4" fontId="35" fillId="44" borderId="19" xfId="0" applyNumberFormat="1" applyFont="1" applyFill="1" applyBorder="1" applyAlignment="1" applyProtection="1">
      <alignment vertical="center"/>
      <protection locked="0"/>
    </xf>
    <xf numFmtId="4" fontId="35" fillId="44" borderId="18" xfId="0" applyNumberFormat="1" applyFont="1" applyFill="1" applyBorder="1" applyAlignment="1" applyProtection="1">
      <alignment vertical="center"/>
      <protection locked="0"/>
    </xf>
    <xf numFmtId="4" fontId="35" fillId="0" borderId="52" xfId="0" applyNumberFormat="1" applyFont="1" applyBorder="1" applyAlignment="1" applyProtection="1">
      <alignment vertical="center"/>
      <protection locked="0"/>
    </xf>
    <xf numFmtId="4" fontId="35" fillId="44" borderId="18" xfId="0" applyNumberFormat="1" applyFont="1" applyFill="1" applyBorder="1" applyAlignment="1">
      <alignment vertical="center"/>
    </xf>
    <xf numFmtId="4" fontId="34" fillId="44" borderId="38" xfId="0" applyNumberFormat="1" applyFont="1" applyFill="1" applyBorder="1" applyAlignment="1" applyProtection="1">
      <alignment horizontal="center" vertical="center" wrapText="1"/>
      <protection locked="0"/>
    </xf>
    <xf numFmtId="4" fontId="34" fillId="44" borderId="37" xfId="0" applyNumberFormat="1" applyFont="1" applyFill="1" applyBorder="1" applyAlignment="1" applyProtection="1">
      <alignment horizontal="center" vertical="center" wrapText="1"/>
      <protection locked="0"/>
    </xf>
    <xf numFmtId="4" fontId="34" fillId="44" borderId="13" xfId="0" applyNumberFormat="1" applyFont="1" applyFill="1" applyBorder="1" applyAlignment="1" applyProtection="1">
      <alignment horizontal="center" vertical="center" wrapText="1"/>
      <protection locked="0"/>
    </xf>
    <xf numFmtId="4" fontId="34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50" xfId="0" applyNumberFormat="1" applyFont="1" applyBorder="1" applyAlignment="1" applyProtection="1">
      <alignment vertical="center" wrapText="1"/>
      <protection locked="0"/>
    </xf>
    <xf numFmtId="4" fontId="35" fillId="0" borderId="71" xfId="0" applyNumberFormat="1" applyFont="1" applyBorder="1" applyAlignment="1" applyProtection="1">
      <alignment vertical="center" wrapText="1"/>
      <protection locked="0"/>
    </xf>
    <xf numFmtId="4" fontId="35" fillId="0" borderId="72" xfId="0" applyNumberFormat="1" applyFont="1" applyBorder="1" applyAlignment="1" applyProtection="1">
      <alignment vertical="center" wrapText="1"/>
      <protection locked="0"/>
    </xf>
    <xf numFmtId="4" fontId="34" fillId="0" borderId="52" xfId="0" applyNumberFormat="1" applyFont="1" applyBorder="1" applyAlignment="1" applyProtection="1">
      <alignment horizontal="left" vertical="center" wrapText="1"/>
      <protection locked="0"/>
    </xf>
    <xf numFmtId="4" fontId="34" fillId="0" borderId="29" xfId="0" applyNumberFormat="1" applyFont="1" applyBorder="1" applyAlignment="1" applyProtection="1">
      <alignment horizontal="right" vertical="center" wrapText="1"/>
      <protection locked="0"/>
    </xf>
    <xf numFmtId="4" fontId="34" fillId="0" borderId="30" xfId="0" applyNumberFormat="1" applyFont="1" applyBorder="1" applyAlignment="1" applyProtection="1">
      <alignment horizontal="right" vertical="center" wrapText="1"/>
      <protection locked="0"/>
    </xf>
    <xf numFmtId="4" fontId="34" fillId="0" borderId="31" xfId="0" applyNumberFormat="1" applyFont="1" applyBorder="1" applyAlignment="1" applyProtection="1">
      <alignment horizontal="right" vertical="center" wrapText="1"/>
      <protection locked="0"/>
    </xf>
    <xf numFmtId="4" fontId="34" fillId="0" borderId="32" xfId="0" applyNumberFormat="1" applyFont="1" applyBorder="1" applyAlignment="1" applyProtection="1">
      <alignment horizontal="right" vertical="center" wrapText="1"/>
      <protection locked="0"/>
    </xf>
    <xf numFmtId="4" fontId="34" fillId="0" borderId="25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>
      <alignment horizontal="right" vertical="center" wrapText="1"/>
    </xf>
    <xf numFmtId="4" fontId="35" fillId="0" borderId="0" xfId="0" applyNumberFormat="1" applyFont="1" applyAlignment="1">
      <alignment horizontal="left" vertical="center"/>
    </xf>
    <xf numFmtId="4" fontId="34" fillId="0" borderId="0" xfId="0" applyNumberFormat="1" applyFont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horizontal="right" vertical="center" wrapText="1"/>
      <protection locked="0"/>
    </xf>
    <xf numFmtId="4" fontId="38" fillId="0" borderId="0" xfId="0" applyNumberFormat="1" applyFont="1" applyAlignment="1">
      <alignment horizontal="left" vertical="center"/>
    </xf>
    <xf numFmtId="4" fontId="35" fillId="44" borderId="60" xfId="0" applyNumberFormat="1" applyFont="1" applyFill="1" applyBorder="1" applyAlignment="1">
      <alignment horizontal="left" vertical="center"/>
    </xf>
    <xf numFmtId="4" fontId="35" fillId="44" borderId="41" xfId="0" applyNumberFormat="1" applyFont="1" applyFill="1" applyBorder="1" applyAlignment="1">
      <alignment horizontal="left" vertical="center"/>
    </xf>
    <xf numFmtId="4" fontId="35" fillId="44" borderId="19" xfId="0" applyNumberFormat="1" applyFont="1" applyFill="1" applyBorder="1" applyAlignment="1">
      <alignment horizontal="left" vertical="center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35" fillId="0" borderId="18" xfId="0" applyNumberFormat="1" applyFont="1" applyBorder="1" applyAlignment="1">
      <alignment vertical="center"/>
    </xf>
    <xf numFmtId="4" fontId="34" fillId="0" borderId="27" xfId="0" applyNumberFormat="1" applyFont="1" applyBorder="1" applyAlignment="1" applyProtection="1">
      <alignment vertical="center"/>
      <protection locked="0"/>
    </xf>
    <xf numFmtId="4" fontId="34" fillId="0" borderId="20" xfId="0" applyNumberFormat="1" applyFont="1" applyBorder="1" applyAlignment="1" applyProtection="1">
      <alignment vertical="center"/>
      <protection locked="0"/>
    </xf>
    <xf numFmtId="0" fontId="34" fillId="0" borderId="40" xfId="0" applyFont="1" applyBorder="1"/>
    <xf numFmtId="0" fontId="34" fillId="0" borderId="26" xfId="0" applyFont="1" applyBorder="1"/>
    <xf numFmtId="4" fontId="35" fillId="44" borderId="18" xfId="0" applyNumberFormat="1" applyFont="1" applyFill="1" applyBorder="1" applyAlignment="1">
      <alignment horizontal="center" vertical="center"/>
    </xf>
    <xf numFmtId="4" fontId="34" fillId="0" borderId="66" xfId="0" applyNumberFormat="1" applyFont="1" applyBorder="1" applyAlignment="1">
      <alignment vertical="center"/>
    </xf>
    <xf numFmtId="4" fontId="35" fillId="44" borderId="60" xfId="0" applyNumberFormat="1" applyFont="1" applyFill="1" applyBorder="1" applyAlignment="1">
      <alignment horizontal="center" vertical="center"/>
    </xf>
    <xf numFmtId="4" fontId="35" fillId="41" borderId="18" xfId="0" applyNumberFormat="1" applyFont="1" applyFill="1" applyBorder="1" applyAlignment="1">
      <alignment horizontal="center" vertical="center"/>
    </xf>
    <xf numFmtId="4" fontId="35" fillId="41" borderId="41" xfId="0" applyNumberFormat="1" applyFont="1" applyFill="1" applyBorder="1" applyAlignment="1">
      <alignment horizontal="center" vertical="center"/>
    </xf>
    <xf numFmtId="4" fontId="34" fillId="0" borderId="36" xfId="0" applyNumberFormat="1" applyFont="1" applyBorder="1" applyAlignment="1">
      <alignment vertical="center" wrapText="1"/>
    </xf>
    <xf numFmtId="4" fontId="35" fillId="0" borderId="58" xfId="0" applyNumberFormat="1" applyFont="1" applyBorder="1" applyAlignment="1">
      <alignment horizontal="right" vertical="center"/>
    </xf>
    <xf numFmtId="4" fontId="35" fillId="0" borderId="53" xfId="0" applyNumberFormat="1" applyFont="1" applyBorder="1" applyAlignment="1" applyProtection="1">
      <alignment vertical="center"/>
      <protection locked="0"/>
    </xf>
    <xf numFmtId="4" fontId="35" fillId="0" borderId="59" xfId="0" applyNumberFormat="1" applyFont="1" applyBorder="1" applyAlignment="1">
      <alignment horizontal="right" vertical="center"/>
    </xf>
    <xf numFmtId="4" fontId="35" fillId="0" borderId="74" xfId="0" applyNumberFormat="1" applyFont="1" applyBorder="1" applyAlignment="1">
      <alignment horizontal="right" vertical="center"/>
    </xf>
    <xf numFmtId="4" fontId="34" fillId="0" borderId="26" xfId="0" applyNumberFormat="1" applyFont="1" applyBorder="1" applyAlignment="1">
      <alignment vertical="center"/>
    </xf>
    <xf numFmtId="4" fontId="34" fillId="0" borderId="70" xfId="0" applyNumberFormat="1" applyFont="1" applyBorder="1" applyAlignment="1">
      <alignment vertical="center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0" fontId="39" fillId="0" borderId="52" xfId="47" applyFont="1" applyBorder="1" applyAlignment="1">
      <alignment horizontal="center"/>
    </xf>
    <xf numFmtId="0" fontId="39" fillId="0" borderId="24" xfId="47" applyFont="1" applyBorder="1" applyAlignment="1">
      <alignment horizontal="center"/>
    </xf>
    <xf numFmtId="0" fontId="51" fillId="0" borderId="0" xfId="0" applyFont="1" applyAlignment="1">
      <alignment vertical="center"/>
    </xf>
    <xf numFmtId="4" fontId="43" fillId="0" borderId="49" xfId="0" applyNumberFormat="1" applyFont="1" applyBorder="1" applyAlignment="1" applyProtection="1">
      <alignment vertical="center"/>
      <protection locked="0"/>
    </xf>
    <xf numFmtId="0" fontId="39" fillId="0" borderId="0" xfId="93" applyFont="1" applyAlignment="1">
      <alignment wrapText="1"/>
    </xf>
    <xf numFmtId="4" fontId="34" fillId="0" borderId="61" xfId="95" applyNumberFormat="1" applyFont="1" applyBorder="1" applyAlignment="1">
      <alignment horizontal="center" vertical="center"/>
    </xf>
    <xf numFmtId="4" fontId="34" fillId="0" borderId="0" xfId="95" applyNumberFormat="1" applyFont="1" applyAlignment="1">
      <alignment vertical="center"/>
    </xf>
    <xf numFmtId="0" fontId="34" fillId="0" borderId="0" xfId="95" applyFont="1" applyAlignment="1">
      <alignment vertical="center"/>
    </xf>
    <xf numFmtId="0" fontId="34" fillId="0" borderId="78" xfId="95" applyFont="1" applyBorder="1" applyAlignment="1">
      <alignment vertical="center"/>
    </xf>
    <xf numFmtId="49" fontId="34" fillId="0" borderId="0" xfId="95" applyNumberFormat="1" applyFont="1" applyAlignment="1">
      <alignment vertical="center"/>
    </xf>
    <xf numFmtId="0" fontId="135" fillId="0" borderId="78" xfId="95" applyFont="1" applyBorder="1" applyAlignment="1">
      <alignment vertical="center"/>
    </xf>
    <xf numFmtId="0" fontId="135" fillId="0" borderId="0" xfId="95" applyFont="1" applyAlignment="1">
      <alignment vertical="center"/>
    </xf>
    <xf numFmtId="4" fontId="39" fillId="0" borderId="53" xfId="95" applyNumberFormat="1" applyFont="1" applyBorder="1" applyAlignment="1">
      <alignment vertical="center"/>
    </xf>
    <xf numFmtId="4" fontId="39" fillId="0" borderId="0" xfId="95" applyNumberFormat="1" applyFont="1" applyAlignment="1">
      <alignment horizontal="left" vertical="center"/>
    </xf>
    <xf numFmtId="0" fontId="39" fillId="0" borderId="53" xfId="95" applyFont="1" applyBorder="1" applyAlignment="1">
      <alignment vertical="center"/>
    </xf>
    <xf numFmtId="4" fontId="136" fillId="0" borderId="0" xfId="95" applyNumberFormat="1" applyFont="1" applyAlignment="1">
      <alignment horizontal="left" vertical="center" wrapText="1"/>
    </xf>
    <xf numFmtId="0" fontId="34" fillId="0" borderId="79" xfId="95" applyFont="1" applyBorder="1" applyAlignment="1">
      <alignment vertical="center"/>
    </xf>
    <xf numFmtId="4" fontId="136" fillId="0" borderId="18" xfId="0" applyNumberFormat="1" applyFont="1" applyBorder="1" applyAlignment="1">
      <alignment horizontal="right" vertical="center"/>
    </xf>
    <xf numFmtId="0" fontId="75" fillId="0" borderId="0" xfId="0" applyFont="1"/>
    <xf numFmtId="0" fontId="109" fillId="0" borderId="0" xfId="0" applyFont="1" applyAlignment="1">
      <alignment vertical="top" wrapText="1"/>
    </xf>
    <xf numFmtId="0" fontId="138" fillId="0" borderId="0" xfId="0" applyFont="1" applyAlignment="1">
      <alignment vertical="center" wrapText="1"/>
    </xf>
    <xf numFmtId="0" fontId="109" fillId="0" borderId="0" xfId="0" applyFont="1" applyAlignment="1">
      <alignment vertical="center" wrapText="1"/>
    </xf>
    <xf numFmtId="0" fontId="107" fillId="0" borderId="0" xfId="0" applyFont="1" applyAlignment="1">
      <alignment horizontal="center" vertical="center" wrapText="1"/>
    </xf>
    <xf numFmtId="0" fontId="75" fillId="0" borderId="0" xfId="0" applyFont="1" applyAlignment="1">
      <alignment horizontal="left"/>
    </xf>
    <xf numFmtId="0" fontId="139" fillId="0" borderId="0" xfId="0" applyFont="1" applyAlignment="1">
      <alignment horizontal="left"/>
    </xf>
    <xf numFmtId="0" fontId="133" fillId="0" borderId="0" xfId="0" applyFont="1" applyAlignment="1">
      <alignment horizontal="left"/>
    </xf>
    <xf numFmtId="0" fontId="108" fillId="0" borderId="0" xfId="0" applyFont="1" applyAlignment="1">
      <alignment vertical="center"/>
    </xf>
    <xf numFmtId="0" fontId="35" fillId="41" borderId="18" xfId="0" applyFont="1" applyFill="1" applyBorder="1" applyAlignment="1">
      <alignment horizontal="center" vertical="center" wrapText="1"/>
    </xf>
    <xf numFmtId="171" fontId="136" fillId="0" borderId="18" xfId="0" applyNumberFormat="1" applyFont="1" applyBorder="1" applyAlignment="1">
      <alignment horizontal="right"/>
    </xf>
    <xf numFmtId="0" fontId="141" fillId="0" borderId="0" xfId="0" applyFont="1" applyAlignment="1">
      <alignment vertical="center" wrapText="1"/>
    </xf>
    <xf numFmtId="0" fontId="142" fillId="0" borderId="0" xfId="0" applyFont="1" applyAlignment="1">
      <alignment vertical="center" wrapText="1"/>
    </xf>
    <xf numFmtId="0" fontId="140" fillId="0" borderId="20" xfId="0" applyFont="1" applyBorder="1" applyAlignment="1">
      <alignment horizontal="center"/>
    </xf>
    <xf numFmtId="0" fontId="140" fillId="0" borderId="0" xfId="0" applyFont="1" applyAlignment="1">
      <alignment horizontal="center"/>
    </xf>
    <xf numFmtId="4" fontId="136" fillId="0" borderId="18" xfId="0" applyNumberFormat="1" applyFont="1" applyBorder="1" applyAlignment="1">
      <alignment horizontal="right"/>
    </xf>
    <xf numFmtId="4" fontId="136" fillId="0" borderId="20" xfId="0" applyNumberFormat="1" applyFont="1" applyBorder="1" applyAlignment="1">
      <alignment horizontal="right"/>
    </xf>
    <xf numFmtId="4" fontId="136" fillId="0" borderId="0" xfId="0" applyNumberFormat="1" applyFont="1" applyAlignment="1">
      <alignment horizontal="right"/>
    </xf>
    <xf numFmtId="4" fontId="135" fillId="0" borderId="16" xfId="0" applyNumberFormat="1" applyFont="1" applyBorder="1" applyAlignment="1">
      <alignment horizontal="right"/>
    </xf>
    <xf numFmtId="4" fontId="135" fillId="0" borderId="88" xfId="0" applyNumberFormat="1" applyFont="1" applyBorder="1" applyAlignment="1">
      <alignment horizontal="right"/>
    </xf>
    <xf numFmtId="4" fontId="135" fillId="0" borderId="66" xfId="0" applyNumberFormat="1" applyFont="1" applyBorder="1" applyAlignment="1">
      <alignment horizontal="right"/>
    </xf>
    <xf numFmtId="4" fontId="135" fillId="0" borderId="14" xfId="0" applyNumberFormat="1" applyFont="1" applyBorder="1" applyAlignment="1">
      <alignment horizontal="right"/>
    </xf>
    <xf numFmtId="0" fontId="143" fillId="0" borderId="0" xfId="0" applyFont="1"/>
    <xf numFmtId="0" fontId="143" fillId="0" borderId="0" xfId="46" applyFont="1" applyAlignment="1">
      <alignment vertical="center"/>
    </xf>
    <xf numFmtId="0" fontId="137" fillId="0" borderId="0" xfId="0" applyFont="1"/>
    <xf numFmtId="4" fontId="137" fillId="0" borderId="0" xfId="46" applyNumberFormat="1" applyFont="1" applyAlignment="1">
      <alignment vertical="center"/>
    </xf>
    <xf numFmtId="4" fontId="137" fillId="0" borderId="0" xfId="0" applyNumberFormat="1" applyFont="1"/>
    <xf numFmtId="0" fontId="140" fillId="0" borderId="0" xfId="0" applyFont="1"/>
    <xf numFmtId="0" fontId="140" fillId="0" borderId="0" xfId="46" applyFont="1" applyAlignment="1">
      <alignment vertical="center"/>
    </xf>
    <xf numFmtId="0" fontId="140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4" fontId="38" fillId="41" borderId="55" xfId="95" applyNumberFormat="1" applyFont="1" applyFill="1" applyBorder="1" applyAlignment="1">
      <alignment horizontal="center" vertical="center" wrapText="1"/>
    </xf>
    <xf numFmtId="0" fontId="38" fillId="41" borderId="55" xfId="95" applyFont="1" applyFill="1" applyBorder="1" applyAlignment="1">
      <alignment horizontal="center" vertical="center" wrapText="1"/>
    </xf>
    <xf numFmtId="4" fontId="41" fillId="0" borderId="52" xfId="0" applyNumberFormat="1" applyFont="1" applyBorder="1" applyAlignment="1" applyProtection="1">
      <alignment vertical="center"/>
      <protection locked="0"/>
    </xf>
    <xf numFmtId="4" fontId="37" fillId="0" borderId="31" xfId="0" applyNumberFormat="1" applyFont="1" applyBorder="1" applyAlignment="1" applyProtection="1">
      <alignment vertical="center"/>
      <protection locked="0"/>
    </xf>
    <xf numFmtId="4" fontId="41" fillId="0" borderId="25" xfId="0" applyNumberFormat="1" applyFont="1" applyBorder="1" applyAlignment="1" applyProtection="1">
      <alignment horizontal="right" vertical="center"/>
      <protection locked="0"/>
    </xf>
    <xf numFmtId="0" fontId="6" fillId="45" borderId="126" xfId="0" applyFont="1" applyFill="1" applyBorder="1"/>
    <xf numFmtId="0" fontId="6" fillId="45" borderId="105" xfId="0" applyFont="1" applyFill="1" applyBorder="1"/>
    <xf numFmtId="0" fontId="133" fillId="0" borderId="126" xfId="0" applyFont="1" applyBorder="1"/>
    <xf numFmtId="0" fontId="133" fillId="0" borderId="105" xfId="0" applyFont="1" applyBorder="1"/>
    <xf numFmtId="0" fontId="6" fillId="46" borderId="126" xfId="0" applyFont="1" applyFill="1" applyBorder="1"/>
    <xf numFmtId="0" fontId="6" fillId="46" borderId="105" xfId="0" applyFont="1" applyFill="1" applyBorder="1"/>
    <xf numFmtId="0" fontId="133" fillId="0" borderId="129" xfId="0" applyFont="1" applyBorder="1"/>
    <xf numFmtId="0" fontId="133" fillId="0" borderId="130" xfId="0" applyFont="1" applyBorder="1"/>
    <xf numFmtId="0" fontId="6" fillId="46" borderId="144" xfId="0" applyFont="1" applyFill="1" applyBorder="1"/>
    <xf numFmtId="0" fontId="6" fillId="46" borderId="145" xfId="0" applyFont="1" applyFill="1" applyBorder="1"/>
    <xf numFmtId="4" fontId="43" fillId="0" borderId="22" xfId="0" applyNumberFormat="1" applyFont="1" applyBorder="1" applyAlignment="1">
      <alignment vertical="center"/>
    </xf>
    <xf numFmtId="4" fontId="43" fillId="0" borderId="24" xfId="0" applyNumberFormat="1" applyFont="1" applyBorder="1" applyAlignment="1">
      <alignment vertical="center"/>
    </xf>
    <xf numFmtId="2" fontId="1" fillId="0" borderId="0" xfId="164" applyNumberFormat="1"/>
    <xf numFmtId="0" fontId="34" fillId="0" borderId="11" xfId="93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 wrapText="1"/>
    </xf>
    <xf numFmtId="4" fontId="38" fillId="42" borderId="11" xfId="0" applyNumberFormat="1" applyFont="1" applyFill="1" applyBorder="1" applyAlignment="1">
      <alignment horizontal="center"/>
    </xf>
    <xf numFmtId="0" fontId="85" fillId="81" borderId="104" xfId="0" applyFont="1" applyFill="1" applyBorder="1"/>
    <xf numFmtId="4" fontId="85" fillId="81" borderId="102" xfId="0" applyNumberFormat="1" applyFont="1" applyFill="1" applyBorder="1" applyAlignment="1">
      <alignment horizontal="right"/>
    </xf>
    <xf numFmtId="4" fontId="79" fillId="81" borderId="102" xfId="0" applyNumberFormat="1" applyFont="1" applyFill="1" applyBorder="1" applyAlignment="1">
      <alignment horizontal="right"/>
    </xf>
    <xf numFmtId="4" fontId="79" fillId="81" borderId="103" xfId="0" applyNumberFormat="1" applyFont="1" applyFill="1" applyBorder="1" applyAlignment="1">
      <alignment horizontal="right"/>
    </xf>
    <xf numFmtId="4" fontId="85" fillId="81" borderId="107" xfId="0" applyNumberFormat="1" applyFont="1" applyFill="1" applyBorder="1" applyAlignment="1">
      <alignment horizontal="right"/>
    </xf>
    <xf numFmtId="4" fontId="79" fillId="81" borderId="107" xfId="0" applyNumberFormat="1" applyFont="1" applyFill="1" applyBorder="1" applyAlignment="1">
      <alignment horizontal="right"/>
    </xf>
    <xf numFmtId="4" fontId="79" fillId="81" borderId="108" xfId="0" applyNumberFormat="1" applyFont="1" applyFill="1" applyBorder="1" applyAlignment="1">
      <alignment horizontal="right"/>
    </xf>
    <xf numFmtId="0" fontId="132" fillId="46" borderId="126" xfId="0" applyFont="1" applyFill="1" applyBorder="1"/>
    <xf numFmtId="0" fontId="132" fillId="46" borderId="127" xfId="0" applyFont="1" applyFill="1" applyBorder="1"/>
    <xf numFmtId="0" fontId="132" fillId="46" borderId="105" xfId="0" applyFont="1" applyFill="1" applyBorder="1"/>
    <xf numFmtId="4" fontId="37" fillId="44" borderId="65" xfId="0" applyNumberFormat="1" applyFont="1" applyFill="1" applyBorder="1" applyAlignment="1">
      <alignment horizontal="right" vertical="center" wrapText="1"/>
    </xf>
    <xf numFmtId="4" fontId="36" fillId="0" borderId="40" xfId="0" applyNumberFormat="1" applyFont="1" applyBorder="1" applyAlignment="1">
      <alignment horizontal="right" vertical="center" wrapText="1"/>
    </xf>
    <xf numFmtId="4" fontId="35" fillId="41" borderId="37" xfId="0" applyNumberFormat="1" applyFont="1" applyFill="1" applyBorder="1" applyAlignment="1">
      <alignment horizontal="right" vertical="center" wrapText="1"/>
    </xf>
    <xf numFmtId="4" fontId="37" fillId="41" borderId="37" xfId="0" applyNumberFormat="1" applyFont="1" applyFill="1" applyBorder="1" applyAlignment="1">
      <alignment horizontal="right" vertical="center" wrapText="1"/>
    </xf>
    <xf numFmtId="4" fontId="37" fillId="41" borderId="36" xfId="0" applyNumberFormat="1" applyFont="1" applyFill="1" applyBorder="1" applyAlignment="1">
      <alignment horizontal="right" vertical="center" wrapText="1"/>
    </xf>
    <xf numFmtId="4" fontId="34" fillId="0" borderId="18" xfId="0" applyNumberFormat="1" applyFont="1" applyBorder="1" applyAlignment="1" applyProtection="1">
      <alignment horizontal="right" vertical="center"/>
      <protection locked="0"/>
    </xf>
    <xf numFmtId="169" fontId="95" fillId="0" borderId="0" xfId="93" applyNumberFormat="1" applyFont="1" applyAlignment="1">
      <alignment horizontal="center" vertical="center"/>
    </xf>
    <xf numFmtId="49" fontId="34" fillId="0" borderId="0" xfId="0" applyNumberFormat="1" applyFont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0" fontId="68" fillId="0" borderId="0" xfId="95" applyFont="1" applyAlignment="1">
      <alignment horizontal="left" vertical="center"/>
    </xf>
    <xf numFmtId="49" fontId="68" fillId="0" borderId="0" xfId="95" applyNumberFormat="1" applyFont="1" applyAlignment="1">
      <alignment horizontal="left" vertical="center"/>
    </xf>
    <xf numFmtId="171" fontId="4" fillId="0" borderId="0" xfId="93" applyNumberFormat="1"/>
    <xf numFmtId="164" fontId="4" fillId="0" borderId="0" xfId="93" applyNumberFormat="1"/>
    <xf numFmtId="4" fontId="4" fillId="0" borderId="63" xfId="93" applyNumberFormat="1" applyFill="1" applyBorder="1"/>
    <xf numFmtId="164" fontId="26" fillId="0" borderId="63" xfId="40" applyNumberFormat="1" applyFont="1" applyFill="1" applyBorder="1" applyAlignment="1" applyProtection="1">
      <alignment horizontal="right" wrapText="1"/>
      <protection locked="0"/>
    </xf>
    <xf numFmtId="4" fontId="39" fillId="0" borderId="53" xfId="93" applyNumberFormat="1" applyFont="1" applyFill="1" applyBorder="1" applyAlignment="1">
      <alignment vertical="center"/>
    </xf>
    <xf numFmtId="4" fontId="39" fillId="0" borderId="0" xfId="93" applyNumberFormat="1" applyFont="1" applyFill="1" applyAlignment="1">
      <alignment vertical="center"/>
    </xf>
    <xf numFmtId="4" fontId="39" fillId="0" borderId="14" xfId="93" applyNumberFormat="1" applyFont="1" applyFill="1" applyBorder="1" applyAlignment="1">
      <alignment vertical="center"/>
    </xf>
    <xf numFmtId="4" fontId="38" fillId="0" borderId="77" xfId="93" applyNumberFormat="1" applyFont="1" applyFill="1" applyBorder="1" applyAlignment="1">
      <alignment vertical="center"/>
    </xf>
    <xf numFmtId="4" fontId="39" fillId="0" borderId="53" xfId="95" applyNumberFormat="1" applyFont="1" applyFill="1" applyBorder="1" applyAlignment="1">
      <alignment vertical="center"/>
    </xf>
    <xf numFmtId="4" fontId="68" fillId="0" borderId="53" xfId="95" applyNumberFormat="1" applyFont="1" applyFill="1" applyBorder="1" applyAlignment="1">
      <alignment vertical="center"/>
    </xf>
    <xf numFmtId="4" fontId="39" fillId="0" borderId="44" xfId="93" applyNumberFormat="1" applyFont="1" applyFill="1" applyBorder="1" applyAlignment="1">
      <alignment vertical="center"/>
    </xf>
    <xf numFmtId="4" fontId="91" fillId="0" borderId="52" xfId="40" applyNumberFormat="1" applyFont="1" applyFill="1" applyBorder="1" applyAlignment="1" applyProtection="1">
      <alignment vertical="center" wrapText="1"/>
      <protection locked="0" hidden="1"/>
    </xf>
    <xf numFmtId="4" fontId="88" fillId="0" borderId="47" xfId="40" applyNumberFormat="1" applyFont="1" applyFill="1" applyBorder="1" applyAlignment="1" applyProtection="1">
      <alignment vertical="center" wrapText="1"/>
      <protection locked="0" hidden="1"/>
    </xf>
    <xf numFmtId="4" fontId="95" fillId="0" borderId="24" xfId="40" applyNumberFormat="1" applyFont="1" applyFill="1" applyBorder="1" applyAlignment="1" applyProtection="1">
      <alignment vertical="center" wrapText="1"/>
      <protection locked="0" hidden="1"/>
    </xf>
    <xf numFmtId="4" fontId="95" fillId="0" borderId="52" xfId="40" applyNumberFormat="1" applyFont="1" applyFill="1" applyBorder="1" applyAlignment="1" applyProtection="1">
      <alignment vertical="center" wrapText="1"/>
      <protection locked="0" hidden="1"/>
    </xf>
    <xf numFmtId="4" fontId="5" fillId="0" borderId="47" xfId="40" applyNumberFormat="1" applyFill="1" applyBorder="1" applyAlignment="1" applyProtection="1">
      <alignment vertical="center" wrapText="1"/>
      <protection locked="0" hidden="1"/>
    </xf>
    <xf numFmtId="4" fontId="91" fillId="0" borderId="47" xfId="40" applyNumberFormat="1" applyFont="1" applyFill="1" applyBorder="1" applyAlignment="1" applyProtection="1">
      <alignment vertical="center" wrapText="1"/>
      <protection locked="0" hidden="1"/>
    </xf>
    <xf numFmtId="4" fontId="91" fillId="0" borderId="24" xfId="40" applyNumberFormat="1" applyFont="1" applyFill="1" applyBorder="1" applyAlignment="1" applyProtection="1">
      <alignment vertical="center" wrapText="1"/>
      <protection locked="0" hidden="1"/>
    </xf>
    <xf numFmtId="4" fontId="91" fillId="0" borderId="20" xfId="40" applyNumberFormat="1" applyFont="1" applyFill="1" applyBorder="1" applyAlignment="1">
      <alignment vertical="center" wrapText="1"/>
    </xf>
    <xf numFmtId="4" fontId="91" fillId="0" borderId="47" xfId="40" applyNumberFormat="1" applyFont="1" applyFill="1" applyBorder="1" applyAlignment="1">
      <alignment vertical="center" wrapText="1"/>
    </xf>
    <xf numFmtId="4" fontId="95" fillId="0" borderId="47" xfId="40" applyNumberFormat="1" applyFont="1" applyFill="1" applyBorder="1" applyAlignment="1">
      <alignment vertical="center" wrapText="1"/>
    </xf>
    <xf numFmtId="4" fontId="95" fillId="0" borderId="24" xfId="40" applyNumberFormat="1" applyFont="1" applyFill="1" applyBorder="1" applyAlignment="1">
      <alignment wrapText="1"/>
    </xf>
    <xf numFmtId="4" fontId="4" fillId="0" borderId="47" xfId="40" applyNumberFormat="1" applyFont="1" applyFill="1" applyBorder="1" applyAlignment="1">
      <alignment vertical="center" wrapText="1"/>
    </xf>
    <xf numFmtId="4" fontId="91" fillId="0" borderId="23" xfId="40" applyNumberFormat="1" applyFont="1" applyFill="1" applyBorder="1" applyAlignment="1" applyProtection="1">
      <alignment vertical="center" wrapText="1"/>
      <protection locked="0" hidden="1"/>
    </xf>
    <xf numFmtId="4" fontId="94" fillId="0" borderId="49" xfId="40" applyNumberFormat="1" applyFont="1" applyFill="1" applyBorder="1" applyAlignment="1" applyProtection="1">
      <alignment vertical="center" wrapText="1"/>
      <protection locked="0" hidden="1"/>
    </xf>
    <xf numFmtId="4" fontId="74" fillId="0" borderId="49" xfId="40" applyNumberFormat="1" applyFont="1" applyFill="1" applyBorder="1" applyAlignment="1" applyProtection="1">
      <alignment vertical="center" wrapText="1"/>
      <protection locked="0" hidden="1"/>
    </xf>
    <xf numFmtId="4" fontId="74" fillId="0" borderId="47" xfId="40" applyNumberFormat="1" applyFont="1" applyFill="1" applyBorder="1" applyAlignment="1">
      <alignment vertical="center" wrapText="1"/>
    </xf>
    <xf numFmtId="4" fontId="94" fillId="0" borderId="49" xfId="40" applyNumberFormat="1" applyFont="1" applyFill="1" applyBorder="1" applyAlignment="1">
      <alignment vertical="center" wrapText="1"/>
    </xf>
    <xf numFmtId="4" fontId="94" fillId="0" borderId="25" xfId="40" applyNumberFormat="1" applyFont="1" applyFill="1" applyBorder="1" applyAlignment="1" applyProtection="1">
      <alignment vertical="center" wrapText="1"/>
      <protection locked="0" hidden="1"/>
    </xf>
    <xf numFmtId="0" fontId="38" fillId="0" borderId="0" xfId="47" applyFont="1" applyAlignment="1">
      <alignment vertical="center"/>
    </xf>
    <xf numFmtId="4" fontId="36" fillId="0" borderId="0" xfId="0" applyNumberFormat="1" applyFont="1" applyAlignment="1">
      <alignment vertical="center"/>
    </xf>
    <xf numFmtId="4" fontId="36" fillId="0" borderId="0" xfId="0" applyNumberFormat="1" applyFont="1" applyFill="1" applyAlignment="1">
      <alignment vertical="center"/>
    </xf>
    <xf numFmtId="4" fontId="40" fillId="0" borderId="0" xfId="0" applyNumberFormat="1" applyFont="1" applyFill="1" applyAlignment="1">
      <alignment horizontal="left" vertical="center"/>
    </xf>
    <xf numFmtId="4" fontId="95" fillId="0" borderId="65" xfId="93" applyNumberFormat="1" applyFont="1" applyFill="1" applyBorder="1" applyAlignment="1">
      <alignment horizontal="right"/>
    </xf>
    <xf numFmtId="4" fontId="4" fillId="0" borderId="63" xfId="93" applyNumberFormat="1" applyFill="1" applyBorder="1" applyAlignment="1">
      <alignment horizontal="right"/>
    </xf>
    <xf numFmtId="4" fontId="95" fillId="0" borderId="63" xfId="93" applyNumberFormat="1" applyFont="1" applyFill="1" applyBorder="1" applyAlignment="1">
      <alignment horizontal="right"/>
    </xf>
    <xf numFmtId="4" fontId="74" fillId="0" borderId="63" xfId="93" applyNumberFormat="1" applyFont="1" applyFill="1" applyBorder="1" applyAlignment="1">
      <alignment horizontal="right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8" fillId="0" borderId="0" xfId="94" applyFont="1" applyAlignment="1">
      <alignment vertical="center" wrapText="1"/>
    </xf>
    <xf numFmtId="0" fontId="39" fillId="0" borderId="0" xfId="93" applyFont="1" applyAlignment="1">
      <alignment vertical="center"/>
    </xf>
    <xf numFmtId="0" fontId="39" fillId="0" borderId="0" xfId="93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146" fillId="0" borderId="0" xfId="44" applyFont="1" applyAlignment="1">
      <alignment horizontal="center" vertical="center" wrapText="1"/>
    </xf>
    <xf numFmtId="0" fontId="142" fillId="0" borderId="0" xfId="44" applyFont="1" applyAlignment="1">
      <alignment horizontal="center" vertical="center" wrapText="1"/>
    </xf>
    <xf numFmtId="0" fontId="136" fillId="41" borderId="18" xfId="0" applyFont="1" applyFill="1" applyBorder="1" applyAlignment="1">
      <alignment horizontal="center" vertical="center"/>
    </xf>
    <xf numFmtId="0" fontId="136" fillId="41" borderId="41" xfId="0" applyFont="1" applyFill="1" applyBorder="1" applyAlignment="1">
      <alignment horizontal="center" vertical="center"/>
    </xf>
    <xf numFmtId="0" fontId="35" fillId="41" borderId="19" xfId="0" applyFont="1" applyFill="1" applyBorder="1" applyAlignment="1">
      <alignment horizontal="left" vertical="center"/>
    </xf>
    <xf numFmtId="49" fontId="35" fillId="47" borderId="165" xfId="0" applyNumberFormat="1" applyFont="1" applyFill="1" applyBorder="1" applyAlignment="1">
      <alignment horizontal="center" vertical="center"/>
    </xf>
    <xf numFmtId="0" fontId="35" fillId="47" borderId="61" xfId="0" applyFont="1" applyFill="1" applyBorder="1" applyAlignment="1">
      <alignment horizontal="center" vertical="center"/>
    </xf>
    <xf numFmtId="4" fontId="35" fillId="47" borderId="61" xfId="0" applyNumberFormat="1" applyFont="1" applyFill="1" applyBorder="1" applyAlignment="1">
      <alignment horizontal="center" vertical="center"/>
    </xf>
    <xf numFmtId="49" fontId="34" fillId="47" borderId="166" xfId="0" applyNumberFormat="1" applyFont="1" applyFill="1" applyBorder="1" applyAlignment="1">
      <alignment horizontal="center" vertical="center"/>
    </xf>
    <xf numFmtId="0" fontId="34" fillId="47" borderId="11" xfId="0" applyFont="1" applyFill="1" applyBorder="1" applyAlignment="1">
      <alignment horizontal="center" vertical="center" wrapText="1"/>
    </xf>
    <xf numFmtId="4" fontId="34" fillId="47" borderId="11" xfId="0" applyNumberFormat="1" applyFont="1" applyFill="1" applyBorder="1" applyAlignment="1">
      <alignment horizontal="center" vertical="center"/>
    </xf>
    <xf numFmtId="4" fontId="34" fillId="47" borderId="63" xfId="0" applyNumberFormat="1" applyFont="1" applyFill="1" applyBorder="1" applyAlignment="1">
      <alignment horizontal="center" vertical="center"/>
    </xf>
    <xf numFmtId="49" fontId="34" fillId="47" borderId="167" xfId="0" applyNumberFormat="1" applyFont="1" applyFill="1" applyBorder="1" applyAlignment="1">
      <alignment horizontal="center" vertical="center"/>
    </xf>
    <xf numFmtId="0" fontId="34" fillId="47" borderId="30" xfId="0" applyFont="1" applyFill="1" applyBorder="1" applyAlignment="1">
      <alignment horizontal="center" vertical="center" wrapText="1"/>
    </xf>
    <xf numFmtId="49" fontId="34" fillId="47" borderId="168" xfId="0" applyNumberFormat="1" applyFont="1" applyFill="1" applyBorder="1" applyAlignment="1">
      <alignment horizontal="center" vertical="center"/>
    </xf>
    <xf numFmtId="0" fontId="34" fillId="47" borderId="30" xfId="0" applyFont="1" applyFill="1" applyBorder="1" applyAlignment="1">
      <alignment horizontal="center" vertical="center"/>
    </xf>
    <xf numFmtId="4" fontId="34" fillId="47" borderId="34" xfId="0" applyNumberFormat="1" applyFont="1" applyFill="1" applyBorder="1" applyAlignment="1">
      <alignment horizontal="center" vertical="center"/>
    </xf>
    <xf numFmtId="4" fontId="34" fillId="47" borderId="40" xfId="0" applyNumberFormat="1" applyFont="1" applyFill="1" applyBorder="1" applyAlignment="1">
      <alignment horizontal="center" vertical="center"/>
    </xf>
    <xf numFmtId="4" fontId="136" fillId="49" borderId="71" xfId="0" applyNumberFormat="1" applyFont="1" applyFill="1" applyBorder="1" applyAlignment="1">
      <alignment horizontal="center" vertical="center"/>
    </xf>
    <xf numFmtId="4" fontId="136" fillId="49" borderId="80" xfId="0" applyNumberFormat="1" applyFont="1" applyFill="1" applyBorder="1" applyAlignment="1">
      <alignment horizontal="center" vertical="center"/>
    </xf>
    <xf numFmtId="49" fontId="35" fillId="47" borderId="170" xfId="0" applyNumberFormat="1" applyFont="1" applyFill="1" applyBorder="1" applyAlignment="1">
      <alignment horizontal="center" vertical="center"/>
    </xf>
    <xf numFmtId="0" fontId="35" fillId="47" borderId="30" xfId="0" applyFont="1" applyFill="1" applyBorder="1" applyAlignment="1">
      <alignment horizontal="center" vertical="center"/>
    </xf>
    <xf numFmtId="4" fontId="35" fillId="47" borderId="30" xfId="0" applyNumberFormat="1" applyFont="1" applyFill="1" applyBorder="1" applyAlignment="1">
      <alignment horizontal="center" vertical="center"/>
    </xf>
    <xf numFmtId="0" fontId="35" fillId="47" borderId="30" xfId="0" applyFont="1" applyFill="1" applyBorder="1" applyAlignment="1">
      <alignment horizontal="center" vertical="center" wrapText="1"/>
    </xf>
    <xf numFmtId="4" fontId="35" fillId="47" borderId="64" xfId="0" applyNumberFormat="1" applyFont="1" applyFill="1" applyBorder="1" applyAlignment="1">
      <alignment horizontal="center" vertical="center"/>
    </xf>
    <xf numFmtId="0" fontId="34" fillId="47" borderId="11" xfId="0" applyFont="1" applyFill="1" applyBorder="1" applyAlignment="1">
      <alignment horizontal="center" vertical="center"/>
    </xf>
    <xf numFmtId="49" fontId="34" fillId="47" borderId="168" xfId="0" quotePrefix="1" applyNumberFormat="1" applyFont="1" applyFill="1" applyBorder="1" applyAlignment="1">
      <alignment horizontal="center" vertical="center"/>
    </xf>
    <xf numFmtId="0" fontId="34" fillId="47" borderId="34" xfId="0" applyFont="1" applyFill="1" applyBorder="1" applyAlignment="1">
      <alignment horizontal="center" vertical="center"/>
    </xf>
    <xf numFmtId="49" fontId="35" fillId="0" borderId="16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4" fontId="35" fillId="0" borderId="61" xfId="0" applyNumberFormat="1" applyFont="1" applyBorder="1" applyAlignment="1">
      <alignment horizontal="center" vertical="center"/>
    </xf>
    <xf numFmtId="4" fontId="35" fillId="0" borderId="65" xfId="0" applyNumberFormat="1" applyFont="1" applyBorder="1" applyAlignment="1">
      <alignment horizontal="center" vertical="center"/>
    </xf>
    <xf numFmtId="49" fontId="34" fillId="0" borderId="166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4" fontId="34" fillId="0" borderId="11" xfId="0" applyNumberFormat="1" applyFont="1" applyBorder="1" applyAlignment="1">
      <alignment horizontal="center" vertical="center"/>
    </xf>
    <xf numFmtId="4" fontId="34" fillId="0" borderId="63" xfId="0" applyNumberFormat="1" applyFont="1" applyBorder="1" applyAlignment="1">
      <alignment horizontal="center" vertical="center"/>
    </xf>
    <xf numFmtId="49" fontId="34" fillId="0" borderId="166" xfId="0" quotePrefix="1" applyNumberFormat="1" applyFont="1" applyBorder="1" applyAlignment="1">
      <alignment horizontal="center" vertical="center"/>
    </xf>
    <xf numFmtId="49" fontId="34" fillId="0" borderId="167" xfId="0" quotePrefix="1" applyNumberFormat="1" applyFont="1" applyBorder="1" applyAlignment="1">
      <alignment horizontal="center" vertical="center"/>
    </xf>
    <xf numFmtId="4" fontId="34" fillId="0" borderId="81" xfId="0" applyNumberFormat="1" applyFont="1" applyBorder="1" applyAlignment="1">
      <alignment horizontal="center" vertical="center"/>
    </xf>
    <xf numFmtId="4" fontId="34" fillId="0" borderId="82" xfId="0" applyNumberFormat="1" applyFont="1" applyBorder="1" applyAlignment="1">
      <alignment horizontal="center" vertical="center"/>
    </xf>
    <xf numFmtId="4" fontId="136" fillId="43" borderId="71" xfId="0" applyNumberFormat="1" applyFont="1" applyFill="1" applyBorder="1" applyAlignment="1">
      <alignment horizontal="center" vertical="center"/>
    </xf>
    <xf numFmtId="4" fontId="136" fillId="43" borderId="80" xfId="0" applyNumberFormat="1" applyFont="1" applyFill="1" applyBorder="1" applyAlignment="1">
      <alignment horizontal="center" vertical="center"/>
    </xf>
    <xf numFmtId="4" fontId="34" fillId="0" borderId="61" xfId="0" applyNumberFormat="1" applyFont="1" applyBorder="1" applyAlignment="1">
      <alignment horizontal="center" vertical="center"/>
    </xf>
    <xf numFmtId="4" fontId="34" fillId="0" borderId="65" xfId="0" applyNumberFormat="1" applyFont="1" applyBorder="1" applyAlignment="1">
      <alignment horizontal="center" vertical="center"/>
    </xf>
    <xf numFmtId="49" fontId="34" fillId="0" borderId="171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4" fontId="34" fillId="0" borderId="37" xfId="0" applyNumberFormat="1" applyFont="1" applyBorder="1" applyAlignment="1">
      <alignment horizontal="center" vertical="center"/>
    </xf>
    <xf numFmtId="4" fontId="34" fillId="0" borderId="36" xfId="0" applyNumberFormat="1" applyFont="1" applyBorder="1" applyAlignment="1">
      <alignment horizontal="center" vertical="center"/>
    </xf>
    <xf numFmtId="4" fontId="136" fillId="41" borderId="71" xfId="0" applyNumberFormat="1" applyFont="1" applyFill="1" applyBorder="1" applyAlignment="1">
      <alignment horizontal="center" vertical="center"/>
    </xf>
    <xf numFmtId="4" fontId="136" fillId="41" borderId="80" xfId="0" applyNumberFormat="1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 shrinkToFit="1"/>
    </xf>
    <xf numFmtId="49" fontId="35" fillId="0" borderId="172" xfId="0" applyNumberFormat="1" applyFont="1" applyBorder="1" applyAlignment="1">
      <alignment horizontal="center" vertical="center"/>
    </xf>
    <xf numFmtId="4" fontId="34" fillId="0" borderId="84" xfId="0" applyNumberFormat="1" applyFont="1" applyBorder="1" applyAlignment="1">
      <alignment horizontal="center" vertical="center"/>
    </xf>
    <xf numFmtId="4" fontId="34" fillId="0" borderId="85" xfId="0" applyNumberFormat="1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4" fillId="0" borderId="168" xfId="0" quotePrefix="1" applyFont="1" applyBorder="1" applyAlignment="1">
      <alignment horizontal="center" vertical="center"/>
    </xf>
    <xf numFmtId="4" fontId="34" fillId="0" borderId="34" xfId="0" applyNumberFormat="1" applyFont="1" applyBorder="1" applyAlignment="1">
      <alignment horizontal="center" vertical="center"/>
    </xf>
    <xf numFmtId="4" fontId="34" fillId="0" borderId="40" xfId="0" applyNumberFormat="1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4" fillId="0" borderId="168" xfId="0" applyFont="1" applyBorder="1" applyAlignment="1">
      <alignment horizontal="center" vertical="center"/>
    </xf>
    <xf numFmtId="49" fontId="35" fillId="0" borderId="166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49" fontId="34" fillId="0" borderId="168" xfId="0" applyNumberFormat="1" applyFont="1" applyBorder="1" applyAlignment="1">
      <alignment horizontal="center" vertical="center"/>
    </xf>
    <xf numFmtId="4" fontId="35" fillId="43" borderId="71" xfId="0" applyNumberFormat="1" applyFont="1" applyFill="1" applyBorder="1" applyAlignment="1">
      <alignment horizontal="center" vertical="center"/>
    </xf>
    <xf numFmtId="4" fontId="35" fillId="43" borderId="80" xfId="0" applyNumberFormat="1" applyFont="1" applyFill="1" applyBorder="1" applyAlignment="1">
      <alignment horizontal="center" vertical="center"/>
    </xf>
    <xf numFmtId="4" fontId="35" fillId="43" borderId="174" xfId="0" applyNumberFormat="1" applyFont="1" applyFill="1" applyBorder="1" applyAlignment="1">
      <alignment horizontal="center" vertical="center"/>
    </xf>
    <xf numFmtId="4" fontId="35" fillId="43" borderId="175" xfId="0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69" xfId="47" applyFont="1" applyBorder="1" applyAlignment="1">
      <alignment vertical="center"/>
    </xf>
    <xf numFmtId="0" fontId="39" fillId="0" borderId="13" xfId="47" applyFont="1" applyBorder="1" applyAlignment="1">
      <alignment vertical="center"/>
    </xf>
    <xf numFmtId="4" fontId="34" fillId="0" borderId="31" xfId="0" applyNumberFormat="1" applyFont="1" applyBorder="1" applyAlignment="1" applyProtection="1">
      <alignment vertical="center"/>
      <protection locked="0"/>
    </xf>
    <xf numFmtId="4" fontId="34" fillId="0" borderId="25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Alignment="1">
      <alignment vertical="center"/>
    </xf>
    <xf numFmtId="0" fontId="147" fillId="0" borderId="18" xfId="0" applyFont="1" applyBorder="1" applyAlignment="1">
      <alignment horizontal="center" vertical="center" wrapText="1"/>
    </xf>
    <xf numFmtId="0" fontId="147" fillId="0" borderId="19" xfId="0" applyFont="1" applyBorder="1" applyAlignment="1">
      <alignment horizontal="center" vertical="center" wrapText="1"/>
    </xf>
    <xf numFmtId="4" fontId="147" fillId="0" borderId="41" xfId="0" applyNumberFormat="1" applyFont="1" applyBorder="1" applyAlignment="1">
      <alignment horizontal="center" vertical="center"/>
    </xf>
    <xf numFmtId="4" fontId="147" fillId="0" borderId="18" xfId="0" applyNumberFormat="1" applyFont="1" applyBorder="1" applyAlignment="1">
      <alignment horizontal="center" vertical="center"/>
    </xf>
    <xf numFmtId="0" fontId="147" fillId="0" borderId="41" xfId="0" applyFont="1" applyBorder="1" applyAlignment="1">
      <alignment horizontal="center" vertical="center"/>
    </xf>
    <xf numFmtId="0" fontId="147" fillId="0" borderId="19" xfId="0" applyFont="1" applyBorder="1" applyAlignment="1">
      <alignment horizontal="left" vertical="center" wrapText="1"/>
    </xf>
    <xf numFmtId="0" fontId="147" fillId="0" borderId="18" xfId="0" applyFont="1" applyBorder="1" applyAlignment="1">
      <alignment horizontal="left" vertical="center" wrapText="1"/>
    </xf>
    <xf numFmtId="4" fontId="34" fillId="0" borderId="25" xfId="0" applyNumberFormat="1" applyFont="1" applyBorder="1" applyAlignment="1" applyProtection="1">
      <alignment vertical="center"/>
      <protection locked="0"/>
    </xf>
    <xf numFmtId="4" fontId="34" fillId="0" borderId="31" xfId="0" applyNumberFormat="1" applyFont="1" applyBorder="1" applyAlignment="1" applyProtection="1">
      <alignment vertical="center"/>
      <protection locked="0"/>
    </xf>
    <xf numFmtId="0" fontId="39" fillId="0" borderId="0" xfId="93" applyFont="1" applyAlignment="1">
      <alignment vertical="center"/>
    </xf>
    <xf numFmtId="0" fontId="85" fillId="0" borderId="104" xfId="0" applyFont="1" applyFill="1" applyBorder="1"/>
    <xf numFmtId="4" fontId="85" fillId="0" borderId="102" xfId="0" applyNumberFormat="1" applyFont="1" applyFill="1" applyBorder="1" applyAlignment="1">
      <alignment horizontal="right"/>
    </xf>
    <xf numFmtId="4" fontId="148" fillId="0" borderId="0" xfId="0" applyNumberFormat="1" applyFont="1" applyFill="1" applyAlignment="1">
      <alignment vertical="center"/>
    </xf>
    <xf numFmtId="4" fontId="79" fillId="0" borderId="102" xfId="0" applyNumberFormat="1" applyFont="1" applyFill="1" applyBorder="1" applyAlignment="1">
      <alignment horizontal="right"/>
    </xf>
    <xf numFmtId="4" fontId="79" fillId="0" borderId="103" xfId="0" applyNumberFormat="1" applyFont="1" applyFill="1" applyBorder="1" applyAlignment="1">
      <alignment horizontal="right"/>
    </xf>
    <xf numFmtId="0" fontId="130" fillId="0" borderId="104" xfId="0" applyFont="1" applyFill="1" applyBorder="1"/>
    <xf numFmtId="4" fontId="130" fillId="0" borderId="102" xfId="0" applyNumberFormat="1" applyFont="1" applyFill="1" applyBorder="1" applyAlignment="1">
      <alignment horizontal="right"/>
    </xf>
    <xf numFmtId="2" fontId="130" fillId="0" borderId="102" xfId="0" applyNumberFormat="1" applyFont="1" applyFill="1" applyBorder="1" applyAlignment="1">
      <alignment horizontal="right"/>
    </xf>
    <xf numFmtId="2" fontId="82" fillId="0" borderId="102" xfId="0" applyNumberFormat="1" applyFont="1" applyFill="1" applyBorder="1" applyAlignment="1">
      <alignment horizontal="right"/>
    </xf>
    <xf numFmtId="4" fontId="82" fillId="0" borderId="102" xfId="0" applyNumberFormat="1" applyFont="1" applyFill="1" applyBorder="1" applyAlignment="1">
      <alignment horizontal="right"/>
    </xf>
    <xf numFmtId="4" fontId="82" fillId="0" borderId="103" xfId="0" applyNumberFormat="1" applyFont="1" applyFill="1" applyBorder="1" applyAlignment="1">
      <alignment horizontal="right"/>
    </xf>
    <xf numFmtId="4" fontId="82" fillId="0" borderId="102" xfId="93" applyNumberFormat="1" applyFont="1" applyFill="1" applyBorder="1" applyAlignment="1">
      <alignment horizontal="right"/>
    </xf>
    <xf numFmtId="2" fontId="82" fillId="0" borderId="102" xfId="93" applyNumberFormat="1" applyFont="1" applyFill="1" applyBorder="1" applyAlignment="1">
      <alignment horizontal="right"/>
    </xf>
    <xf numFmtId="4" fontId="130" fillId="0" borderId="116" xfId="0" applyNumberFormat="1" applyFont="1" applyFill="1" applyBorder="1" applyAlignment="1">
      <alignment horizontal="right"/>
    </xf>
    <xf numFmtId="0" fontId="85" fillId="0" borderId="126" xfId="0" applyFont="1" applyFill="1" applyBorder="1"/>
    <xf numFmtId="4" fontId="85" fillId="0" borderId="11" xfId="0" applyNumberFormat="1" applyFont="1" applyFill="1" applyBorder="1" applyAlignment="1">
      <alignment horizontal="right"/>
    </xf>
    <xf numFmtId="4" fontId="79" fillId="0" borderId="11" xfId="0" applyNumberFormat="1" applyFont="1" applyFill="1" applyBorder="1" applyAlignment="1">
      <alignment horizontal="right"/>
    </xf>
    <xf numFmtId="0" fontId="39" fillId="0" borderId="0" xfId="0" applyFont="1" applyAlignment="1">
      <alignment vertical="center"/>
    </xf>
    <xf numFmtId="0" fontId="39" fillId="0" borderId="0" xfId="0" applyFont="1"/>
    <xf numFmtId="0" fontId="39" fillId="0" borderId="0" xfId="93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4" fontId="38" fillId="0" borderId="19" xfId="0" applyNumberFormat="1" applyFont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4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63" xfId="0" applyNumberFormat="1" applyFont="1" applyFill="1" applyBorder="1" applyAlignment="1">
      <alignment horizontal="right" vertical="center" wrapText="1"/>
    </xf>
    <xf numFmtId="0" fontId="39" fillId="0" borderId="0" xfId="93" applyFont="1" applyAlignment="1">
      <alignment vertical="center"/>
    </xf>
    <xf numFmtId="4" fontId="38" fillId="0" borderId="19" xfId="0" applyNumberFormat="1" applyFont="1" applyBorder="1" applyAlignment="1">
      <alignment horizontal="right" vertical="center"/>
    </xf>
    <xf numFmtId="14" fontId="147" fillId="0" borderId="18" xfId="0" applyNumberFormat="1" applyFont="1" applyBorder="1" applyAlignment="1">
      <alignment horizontal="center" vertical="center"/>
    </xf>
    <xf numFmtId="4" fontId="38" fillId="0" borderId="22" xfId="0" applyNumberFormat="1" applyFont="1" applyBorder="1" applyAlignment="1">
      <alignment horizontal="right"/>
    </xf>
    <xf numFmtId="4" fontId="38" fillId="0" borderId="66" xfId="0" applyNumberFormat="1" applyFont="1" applyBorder="1" applyAlignment="1">
      <alignment horizontal="right"/>
    </xf>
    <xf numFmtId="4" fontId="39" fillId="0" borderId="176" xfId="0" applyNumberFormat="1" applyFont="1" applyBorder="1" applyAlignment="1">
      <alignment horizontal="right" vertical="center"/>
    </xf>
    <xf numFmtId="4" fontId="149" fillId="0" borderId="0" xfId="93" applyNumberFormat="1" applyFont="1"/>
    <xf numFmtId="4" fontId="95" fillId="0" borderId="42" xfId="93" applyNumberFormat="1" applyFont="1" applyBorder="1" applyAlignment="1">
      <alignment horizontal="center"/>
    </xf>
    <xf numFmtId="4" fontId="95" fillId="0" borderId="44" xfId="93" applyNumberFormat="1" applyFont="1" applyBorder="1" applyAlignment="1">
      <alignment vertical="center"/>
    </xf>
    <xf numFmtId="4" fontId="4" fillId="0" borderId="44" xfId="93" applyNumberFormat="1" applyBorder="1" applyAlignment="1">
      <alignment vertical="center"/>
    </xf>
    <xf numFmtId="4" fontId="95" fillId="0" borderId="44" xfId="93" applyNumberFormat="1" applyFont="1" applyBorder="1"/>
    <xf numFmtId="4" fontId="74" fillId="0" borderId="44" xfId="93" applyNumberFormat="1" applyFont="1" applyBorder="1"/>
    <xf numFmtId="4" fontId="95" fillId="0" borderId="44" xfId="93" applyNumberFormat="1" applyFont="1" applyBorder="1" applyAlignment="1">
      <alignment horizontal="center"/>
    </xf>
    <xf numFmtId="4" fontId="4" fillId="0" borderId="44" xfId="93" applyNumberFormat="1" applyBorder="1"/>
    <xf numFmtId="4" fontId="95" fillId="0" borderId="22" xfId="93" applyNumberFormat="1" applyFont="1" applyBorder="1"/>
    <xf numFmtId="4" fontId="95" fillId="0" borderId="24" xfId="93" applyNumberFormat="1" applyFont="1" applyBorder="1"/>
    <xf numFmtId="4" fontId="4" fillId="0" borderId="24" xfId="93" applyNumberFormat="1" applyBorder="1"/>
    <xf numFmtId="4" fontId="95" fillId="0" borderId="24" xfId="93" applyNumberFormat="1" applyFont="1" applyFill="1" applyBorder="1"/>
    <xf numFmtId="4" fontId="4" fillId="0" borderId="24" xfId="93" applyNumberFormat="1" applyFill="1" applyBorder="1"/>
    <xf numFmtId="4" fontId="4" fillId="0" borderId="26" xfId="93" applyNumberFormat="1" applyBorder="1"/>
    <xf numFmtId="0" fontId="39" fillId="0" borderId="0" xfId="93" applyFont="1" applyFill="1" applyAlignment="1">
      <alignment vertical="center"/>
    </xf>
    <xf numFmtId="4" fontId="4" fillId="0" borderId="63" xfId="93" applyNumberFormat="1" applyFont="1" applyFill="1" applyBorder="1" applyAlignment="1">
      <alignment horizontal="right"/>
    </xf>
    <xf numFmtId="4" fontId="35" fillId="0" borderId="57" xfId="0" applyNumberFormat="1" applyFont="1" applyBorder="1" applyAlignment="1" applyProtection="1">
      <alignment vertical="center"/>
      <protection locked="0"/>
    </xf>
    <xf numFmtId="4" fontId="35" fillId="44" borderId="60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>
      <alignment horizontal="center" vertical="center"/>
    </xf>
    <xf numFmtId="4" fontId="36" fillId="0" borderId="18" xfId="0" applyNumberFormat="1" applyFont="1" applyFill="1" applyBorder="1" applyAlignment="1" applyProtection="1">
      <alignment vertical="center"/>
    </xf>
    <xf numFmtId="4" fontId="36" fillId="0" borderId="31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Fill="1" applyBorder="1" applyAlignment="1" applyProtection="1">
      <alignment vertical="center"/>
      <protection locked="0"/>
    </xf>
    <xf numFmtId="4" fontId="36" fillId="0" borderId="19" xfId="0" applyNumberFormat="1" applyFont="1" applyBorder="1" applyAlignment="1" applyProtection="1">
      <alignment vertical="center"/>
      <protection locked="0"/>
    </xf>
    <xf numFmtId="4" fontId="36" fillId="0" borderId="21" xfId="0" applyNumberFormat="1" applyFont="1" applyBorder="1" applyAlignment="1" applyProtection="1">
      <alignment vertical="center"/>
      <protection locked="0"/>
    </xf>
    <xf numFmtId="4" fontId="36" fillId="0" borderId="52" xfId="0" applyNumberFormat="1" applyFont="1" applyFill="1" applyBorder="1" applyAlignment="1" applyProtection="1">
      <alignment vertical="center"/>
    </xf>
    <xf numFmtId="4" fontId="36" fillId="0" borderId="24" xfId="0" applyNumberFormat="1" applyFont="1" applyFill="1" applyBorder="1" applyAlignment="1" applyProtection="1">
      <alignment vertical="center"/>
    </xf>
    <xf numFmtId="4" fontId="41" fillId="0" borderId="31" xfId="0" applyNumberFormat="1" applyFont="1" applyFill="1" applyBorder="1" applyAlignment="1" applyProtection="1">
      <alignment vertical="center"/>
      <protection locked="0"/>
    </xf>
    <xf numFmtId="4" fontId="41" fillId="0" borderId="25" xfId="0" applyNumberFormat="1" applyFont="1" applyFill="1" applyBorder="1" applyAlignment="1" applyProtection="1">
      <alignment vertical="center"/>
      <protection locked="0"/>
    </xf>
    <xf numFmtId="4" fontId="43" fillId="0" borderId="25" xfId="0" applyNumberFormat="1" applyFont="1" applyFill="1" applyBorder="1" applyAlignment="1" applyProtection="1">
      <alignment vertical="center"/>
      <protection locked="0"/>
    </xf>
    <xf numFmtId="4" fontId="41" fillId="0" borderId="25" xfId="0" applyNumberFormat="1" applyFont="1" applyFill="1" applyBorder="1" applyAlignment="1" applyProtection="1">
      <alignment vertical="center" wrapText="1"/>
      <protection locked="0"/>
    </xf>
    <xf numFmtId="4" fontId="41" fillId="0" borderId="31" xfId="0" applyNumberFormat="1" applyFont="1" applyFill="1" applyBorder="1" applyAlignment="1" applyProtection="1">
      <alignment vertical="center" wrapText="1"/>
      <protection locked="0"/>
    </xf>
    <xf numFmtId="4" fontId="43" fillId="0" borderId="27" xfId="0" applyNumberFormat="1" applyFont="1" applyFill="1" applyBorder="1" applyAlignment="1" applyProtection="1">
      <alignment vertical="center" wrapText="1"/>
      <protection locked="0"/>
    </xf>
    <xf numFmtId="4" fontId="36" fillId="44" borderId="18" xfId="0" applyNumberFormat="1" applyFont="1" applyFill="1" applyBorder="1" applyAlignment="1" applyProtection="1">
      <alignment vertical="center"/>
    </xf>
    <xf numFmtId="4" fontId="38" fillId="0" borderId="19" xfId="0" applyNumberFormat="1" applyFont="1" applyBorder="1" applyAlignment="1">
      <alignment vertical="center" wrapText="1"/>
    </xf>
    <xf numFmtId="4" fontId="39" fillId="0" borderId="19" xfId="0" applyNumberFormat="1" applyFont="1" applyBorder="1" applyAlignment="1">
      <alignment vertical="center" wrapText="1"/>
    </xf>
    <xf numFmtId="4" fontId="39" fillId="0" borderId="87" xfId="0" applyNumberFormat="1" applyFont="1" applyBorder="1" applyAlignment="1">
      <alignment vertical="center" wrapText="1"/>
    </xf>
    <xf numFmtId="4" fontId="39" fillId="0" borderId="13" xfId="0" applyNumberFormat="1" applyFont="1" applyBorder="1" applyAlignment="1">
      <alignment vertical="center" wrapText="1"/>
    </xf>
    <xf numFmtId="4" fontId="38" fillId="0" borderId="41" xfId="0" applyNumberFormat="1" applyFont="1" applyFill="1" applyBorder="1" applyAlignment="1">
      <alignment horizontal="right" vertical="center"/>
    </xf>
    <xf numFmtId="4" fontId="35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0" xfId="94" applyNumberFormat="1" applyFont="1" applyFill="1" applyAlignment="1">
      <alignment vertical="top"/>
    </xf>
    <xf numFmtId="4" fontId="39" fillId="0" borderId="0" xfId="94" applyNumberFormat="1" applyFont="1" applyFill="1" applyAlignment="1">
      <alignment vertical="center"/>
    </xf>
    <xf numFmtId="4" fontId="39" fillId="0" borderId="0" xfId="93" applyNumberFormat="1" applyFont="1" applyFill="1" applyAlignment="1">
      <alignment vertical="top"/>
    </xf>
    <xf numFmtId="2" fontId="39" fillId="0" borderId="44" xfId="93" applyNumberFormat="1" applyFont="1" applyFill="1" applyBorder="1" applyAlignment="1">
      <alignment vertical="center"/>
    </xf>
    <xf numFmtId="4" fontId="35" fillId="0" borderId="24" xfId="0" applyNumberFormat="1" applyFont="1" applyBorder="1" applyAlignment="1" applyProtection="1">
      <alignment horizontal="right" vertical="center" wrapText="1"/>
      <protection locked="0"/>
    </xf>
    <xf numFmtId="4" fontId="35" fillId="0" borderId="24" xfId="0" applyNumberFormat="1" applyFont="1" applyBorder="1" applyAlignment="1">
      <alignment horizontal="right" vertical="center" wrapText="1"/>
    </xf>
    <xf numFmtId="4" fontId="35" fillId="0" borderId="26" xfId="0" applyNumberFormat="1" applyFont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4" fillId="0" borderId="63" xfId="93" applyNumberFormat="1" applyFont="1" applyBorder="1" applyAlignment="1">
      <alignment horizontal="right"/>
    </xf>
    <xf numFmtId="4" fontId="36" fillId="0" borderId="0" xfId="0" applyNumberFormat="1" applyFont="1" applyAlignment="1">
      <alignment vertical="center"/>
    </xf>
    <xf numFmtId="4" fontId="4" fillId="0" borderId="0" xfId="93" applyNumberFormat="1"/>
    <xf numFmtId="4" fontId="4" fillId="0" borderId="0" xfId="93" applyNumberFormat="1"/>
    <xf numFmtId="0" fontId="91" fillId="42" borderId="14" xfId="40" applyFont="1" applyFill="1" applyBorder="1" applyAlignment="1" applyProtection="1">
      <alignment horizontal="center" vertical="center"/>
      <protection locked="0" hidden="1"/>
    </xf>
    <xf numFmtId="0" fontId="91" fillId="0" borderId="0" xfId="40" applyFont="1" applyAlignment="1">
      <alignment horizontal="center" vertical="center"/>
    </xf>
    <xf numFmtId="0" fontId="91" fillId="0" borderId="48" xfId="40" applyFont="1" applyBorder="1" applyAlignment="1">
      <alignment horizontal="center" vertical="center"/>
    </xf>
    <xf numFmtId="0" fontId="90" fillId="42" borderId="56" xfId="40" applyFont="1" applyFill="1" applyBorder="1" applyAlignment="1" applyProtection="1">
      <alignment horizontal="center" vertical="center"/>
      <protection locked="0" hidden="1"/>
    </xf>
    <xf numFmtId="0" fontId="91" fillId="42" borderId="0" xfId="40" applyFont="1" applyFill="1" applyAlignment="1" applyProtection="1">
      <alignment horizontal="center" vertical="center"/>
      <protection locked="0" hidden="1"/>
    </xf>
    <xf numFmtId="0" fontId="92" fillId="42" borderId="0" xfId="40" applyFont="1" applyFill="1" applyAlignment="1" applyProtection="1">
      <alignment horizontal="center" vertical="center"/>
      <protection locked="0" hidden="1"/>
    </xf>
    <xf numFmtId="0" fontId="92" fillId="42" borderId="0" xfId="40" applyFont="1" applyFill="1" applyAlignment="1" applyProtection="1">
      <alignment horizontal="center" vertical="top"/>
      <protection locked="0" hidden="1"/>
    </xf>
    <xf numFmtId="0" fontId="95" fillId="0" borderId="0" xfId="93" applyFont="1" applyAlignment="1">
      <alignment horizontal="center"/>
    </xf>
    <xf numFmtId="0" fontId="95" fillId="0" borderId="147" xfId="93" applyFont="1" applyBorder="1" applyAlignment="1">
      <alignment horizontal="center"/>
    </xf>
    <xf numFmtId="0" fontId="4" fillId="0" borderId="73" xfId="93" applyBorder="1"/>
    <xf numFmtId="0" fontId="4" fillId="0" borderId="56" xfId="93" applyBorder="1"/>
    <xf numFmtId="0" fontId="4" fillId="0" borderId="69" xfId="93" applyBorder="1"/>
    <xf numFmtId="0" fontId="95" fillId="0" borderId="67" xfId="93" applyFont="1" applyBorder="1" applyAlignment="1">
      <alignment horizontal="center"/>
    </xf>
    <xf numFmtId="0" fontId="4" fillId="0" borderId="0" xfId="93" applyAlignment="1">
      <alignment horizontal="left"/>
    </xf>
    <xf numFmtId="0" fontId="4" fillId="0" borderId="0" xfId="93" applyAlignment="1">
      <alignment horizontal="center"/>
    </xf>
    <xf numFmtId="0" fontId="4" fillId="0" borderId="32" xfId="93" applyBorder="1" applyAlignment="1">
      <alignment vertical="top" wrapText="1"/>
    </xf>
    <xf numFmtId="0" fontId="4" fillId="0" borderId="11" xfId="93" applyBorder="1" applyAlignment="1">
      <alignment vertical="top" wrapText="1"/>
    </xf>
    <xf numFmtId="0" fontId="4" fillId="0" borderId="32" xfId="93" applyBorder="1" applyAlignment="1">
      <alignment wrapText="1"/>
    </xf>
    <xf numFmtId="0" fontId="4" fillId="0" borderId="11" xfId="93" applyBorder="1" applyAlignment="1">
      <alignment wrapText="1"/>
    </xf>
    <xf numFmtId="0" fontId="95" fillId="47" borderId="32" xfId="93" applyFont="1" applyFill="1" applyBorder="1" applyAlignment="1">
      <alignment wrapText="1"/>
    </xf>
    <xf numFmtId="0" fontId="4" fillId="47" borderId="11" xfId="93" applyFill="1" applyBorder="1" applyAlignment="1">
      <alignment wrapText="1"/>
    </xf>
    <xf numFmtId="0" fontId="95" fillId="0" borderId="32" xfId="93" applyFont="1" applyBorder="1" applyAlignment="1">
      <alignment wrapText="1"/>
    </xf>
    <xf numFmtId="14" fontId="95" fillId="0" borderId="0" xfId="93" applyNumberFormat="1" applyFont="1" applyAlignment="1">
      <alignment horizontal="left"/>
    </xf>
    <xf numFmtId="0" fontId="95" fillId="0" borderId="0" xfId="93" applyFont="1" applyAlignment="1">
      <alignment horizontal="left"/>
    </xf>
    <xf numFmtId="0" fontId="4" fillId="0" borderId="59" xfId="93" applyBorder="1" applyAlignment="1">
      <alignment wrapText="1"/>
    </xf>
    <xf numFmtId="0" fontId="4" fillId="0" borderId="44" xfId="93" applyBorder="1" applyAlignment="1">
      <alignment wrapText="1"/>
    </xf>
    <xf numFmtId="0" fontId="4" fillId="0" borderId="25" xfId="93" applyBorder="1" applyAlignment="1">
      <alignment wrapText="1"/>
    </xf>
    <xf numFmtId="0" fontId="4" fillId="0" borderId="147" xfId="93" applyBorder="1" applyAlignment="1">
      <alignment horizontal="center"/>
    </xf>
    <xf numFmtId="4" fontId="4" fillId="0" borderId="0" xfId="93" applyNumberFormat="1" applyAlignment="1">
      <alignment horizontal="center"/>
    </xf>
    <xf numFmtId="4" fontId="4" fillId="0" borderId="0" xfId="93" applyNumberFormat="1" applyAlignment="1">
      <alignment horizontal="right"/>
    </xf>
    <xf numFmtId="0" fontId="4" fillId="0" borderId="86" xfId="93" applyBorder="1" applyAlignment="1">
      <alignment wrapText="1"/>
    </xf>
    <xf numFmtId="0" fontId="4" fillId="0" borderId="14" xfId="93" applyBorder="1"/>
    <xf numFmtId="0" fontId="4" fillId="0" borderId="13" xfId="93" applyBorder="1"/>
    <xf numFmtId="4" fontId="4" fillId="0" borderId="0" xfId="93" applyNumberFormat="1"/>
    <xf numFmtId="4" fontId="4" fillId="0" borderId="0" xfId="93" applyNumberFormat="1" applyAlignment="1">
      <alignment horizontal="left"/>
    </xf>
    <xf numFmtId="0" fontId="34" fillId="0" borderId="0" xfId="43" applyFont="1" applyAlignment="1">
      <alignment horizontal="left" wrapText="1"/>
    </xf>
    <xf numFmtId="0" fontId="34" fillId="0" borderId="0" xfId="0" applyFont="1" applyAlignment="1">
      <alignment horizontal="left" wrapText="1"/>
    </xf>
    <xf numFmtId="4" fontId="34" fillId="0" borderId="59" xfId="0" applyNumberFormat="1" applyFont="1" applyBorder="1" applyAlignment="1" applyProtection="1">
      <alignment vertical="center"/>
      <protection locked="0"/>
    </xf>
    <xf numFmtId="4" fontId="34" fillId="0" borderId="44" xfId="0" applyNumberFormat="1" applyFont="1" applyBorder="1" applyAlignment="1" applyProtection="1">
      <alignment vertical="center"/>
      <protection locked="0"/>
    </xf>
    <xf numFmtId="4" fontId="34" fillId="0" borderId="25" xfId="0" applyNumberFormat="1" applyFont="1" applyBorder="1" applyAlignment="1" applyProtection="1">
      <alignment vertical="center"/>
      <protection locked="0"/>
    </xf>
    <xf numFmtId="0" fontId="34" fillId="44" borderId="86" xfId="0" applyFont="1" applyFill="1" applyBorder="1" applyAlignment="1">
      <alignment horizontal="center" vertical="center"/>
    </xf>
    <xf numFmtId="0" fontId="34" fillId="44" borderId="13" xfId="0" applyFont="1" applyFill="1" applyBorder="1" applyAlignment="1">
      <alignment horizontal="center" vertical="center"/>
    </xf>
    <xf numFmtId="0" fontId="35" fillId="44" borderId="60" xfId="0" applyFont="1" applyFill="1" applyBorder="1" applyAlignment="1">
      <alignment horizontal="center" vertical="center"/>
    </xf>
    <xf numFmtId="0" fontId="35" fillId="44" borderId="41" xfId="0" applyFont="1" applyFill="1" applyBorder="1" applyAlignment="1">
      <alignment horizontal="center" vertical="center"/>
    </xf>
    <xf numFmtId="0" fontId="35" fillId="44" borderId="19" xfId="0" applyFont="1" applyFill="1" applyBorder="1" applyAlignment="1">
      <alignment horizontal="center" vertical="center"/>
    </xf>
    <xf numFmtId="4" fontId="35" fillId="0" borderId="60" xfId="0" applyNumberFormat="1" applyFont="1" applyBorder="1" applyAlignment="1" applyProtection="1">
      <alignment vertical="center" wrapText="1"/>
      <protection locked="0"/>
    </xf>
    <xf numFmtId="4" fontId="35" fillId="0" borderId="41" xfId="0" applyNumberFormat="1" applyFont="1" applyBorder="1" applyAlignment="1" applyProtection="1">
      <alignment vertical="center" wrapText="1"/>
      <protection locked="0"/>
    </xf>
    <xf numFmtId="4" fontId="35" fillId="0" borderId="19" xfId="0" applyNumberFormat="1" applyFont="1" applyBorder="1" applyAlignment="1" applyProtection="1">
      <alignment vertical="center" wrapText="1"/>
      <protection locked="0"/>
    </xf>
    <xf numFmtId="4" fontId="34" fillId="0" borderId="74" xfId="0" applyNumberFormat="1" applyFont="1" applyBorder="1" applyAlignment="1" applyProtection="1">
      <alignment vertical="center" wrapText="1"/>
      <protection locked="0"/>
    </xf>
    <xf numFmtId="4" fontId="34" fillId="0" borderId="70" xfId="0" applyNumberFormat="1" applyFont="1" applyBorder="1" applyAlignment="1" applyProtection="1">
      <alignment vertical="center" wrapText="1"/>
      <protection locked="0"/>
    </xf>
    <xf numFmtId="4" fontId="34" fillId="0" borderId="27" xfId="0" applyNumberFormat="1" applyFont="1" applyBorder="1" applyAlignment="1" applyProtection="1">
      <alignment vertical="center" wrapText="1"/>
      <protection locked="0"/>
    </xf>
    <xf numFmtId="4" fontId="132" fillId="0" borderId="128" xfId="0" applyNumberFormat="1" applyFont="1" applyBorder="1" applyAlignment="1">
      <alignment vertical="center"/>
    </xf>
    <xf numFmtId="4" fontId="132" fillId="0" borderId="127" xfId="0" applyNumberFormat="1" applyFont="1" applyBorder="1" applyAlignment="1">
      <alignment vertical="center"/>
    </xf>
    <xf numFmtId="0" fontId="4" fillId="0" borderId="105" xfId="0" applyFont="1" applyBorder="1"/>
    <xf numFmtId="4" fontId="34" fillId="0" borderId="74" xfId="0" applyNumberFormat="1" applyFont="1" applyBorder="1" applyAlignment="1" applyProtection="1">
      <alignment horizontal="left" vertical="center"/>
      <protection locked="0"/>
    </xf>
    <xf numFmtId="4" fontId="34" fillId="0" borderId="27" xfId="0" applyNumberFormat="1" applyFont="1" applyBorder="1" applyAlignment="1" applyProtection="1">
      <alignment horizontal="left" vertical="center"/>
      <protection locked="0"/>
    </xf>
    <xf numFmtId="4" fontId="34" fillId="0" borderId="59" xfId="0" applyNumberFormat="1" applyFont="1" applyBorder="1" applyAlignment="1" applyProtection="1">
      <alignment horizontal="left" vertical="center" wrapText="1"/>
      <protection locked="0"/>
    </xf>
    <xf numFmtId="4" fontId="34" fillId="0" borderId="25" xfId="0" applyNumberFormat="1" applyFont="1" applyBorder="1" applyAlignment="1" applyProtection="1">
      <alignment horizontal="left" vertical="center" wrapText="1"/>
      <protection locked="0"/>
    </xf>
    <xf numFmtId="0" fontId="132" fillId="46" borderId="126" xfId="0" applyFont="1" applyFill="1" applyBorder="1"/>
    <xf numFmtId="0" fontId="132" fillId="46" borderId="127" xfId="0" applyFont="1" applyFill="1" applyBorder="1"/>
    <xf numFmtId="4" fontId="34" fillId="0" borderId="59" xfId="0" applyNumberFormat="1" applyFont="1" applyBorder="1" applyAlignment="1" applyProtection="1">
      <alignment horizontal="left" vertical="center"/>
      <protection locked="0"/>
    </xf>
    <xf numFmtId="4" fontId="34" fillId="0" borderId="25" xfId="0" applyNumberFormat="1" applyFont="1" applyBorder="1" applyAlignment="1" applyProtection="1">
      <alignment horizontal="left" vertical="center"/>
      <protection locked="0"/>
    </xf>
    <xf numFmtId="4" fontId="34" fillId="0" borderId="59" xfId="0" applyNumberFormat="1" applyFont="1" applyBorder="1" applyAlignment="1" applyProtection="1">
      <alignment vertical="center" wrapText="1"/>
      <protection locked="0"/>
    </xf>
    <xf numFmtId="4" fontId="34" fillId="0" borderId="44" xfId="0" applyNumberFormat="1" applyFont="1" applyBorder="1" applyAlignment="1" applyProtection="1">
      <alignment vertical="center" wrapText="1"/>
      <protection locked="0"/>
    </xf>
    <xf numFmtId="4" fontId="34" fillId="0" borderId="25" xfId="0" applyNumberFormat="1" applyFont="1" applyBorder="1" applyAlignment="1" applyProtection="1">
      <alignment vertical="center" wrapText="1"/>
      <protection locked="0"/>
    </xf>
    <xf numFmtId="4" fontId="43" fillId="0" borderId="59" xfId="0" applyNumberFormat="1" applyFont="1" applyBorder="1" applyAlignment="1" applyProtection="1">
      <alignment horizontal="left" vertical="center" indent="1"/>
      <protection locked="0"/>
    </xf>
    <xf numFmtId="4" fontId="43" fillId="0" borderId="44" xfId="0" applyNumberFormat="1" applyFont="1" applyBorder="1" applyAlignment="1" applyProtection="1">
      <alignment horizontal="left" vertical="center" indent="1"/>
      <protection locked="0"/>
    </xf>
    <xf numFmtId="4" fontId="43" fillId="0" borderId="25" xfId="0" applyNumberFormat="1" applyFont="1" applyBorder="1" applyAlignment="1" applyProtection="1">
      <alignment horizontal="left" vertical="center" indent="1"/>
      <protection locked="0"/>
    </xf>
    <xf numFmtId="4" fontId="43" fillId="0" borderId="59" xfId="0" applyNumberFormat="1" applyFont="1" applyBorder="1" applyAlignment="1" applyProtection="1">
      <alignment horizontal="left" vertical="center" wrapText="1" indent="1"/>
      <protection locked="0"/>
    </xf>
    <xf numFmtId="4" fontId="43" fillId="0" borderId="44" xfId="0" applyNumberFormat="1" applyFont="1" applyBorder="1" applyAlignment="1" applyProtection="1">
      <alignment horizontal="left" vertical="center" wrapText="1" indent="1"/>
      <protection locked="0"/>
    </xf>
    <xf numFmtId="4" fontId="43" fillId="0" borderId="25" xfId="0" applyNumberFormat="1" applyFont="1" applyBorder="1" applyAlignment="1" applyProtection="1">
      <alignment horizontal="left" vertical="center" wrapText="1" indent="1"/>
      <protection locked="0"/>
    </xf>
    <xf numFmtId="4" fontId="35" fillId="44" borderId="60" xfId="0" applyNumberFormat="1" applyFont="1" applyFill="1" applyBorder="1" applyAlignment="1" applyProtection="1">
      <alignment vertical="center"/>
      <protection locked="0"/>
    </xf>
    <xf numFmtId="4" fontId="35" fillId="44" borderId="41" xfId="0" applyNumberFormat="1" applyFont="1" applyFill="1" applyBorder="1" applyAlignment="1" applyProtection="1">
      <alignment vertical="center"/>
      <protection locked="0"/>
    </xf>
    <xf numFmtId="4" fontId="35" fillId="44" borderId="19" xfId="0" applyNumberFormat="1" applyFont="1" applyFill="1" applyBorder="1" applyAlignment="1" applyProtection="1">
      <alignment vertical="center"/>
      <protection locked="0"/>
    </xf>
    <xf numFmtId="4" fontId="34" fillId="0" borderId="57" xfId="0" applyNumberFormat="1" applyFont="1" applyBorder="1" applyAlignment="1" applyProtection="1">
      <alignment vertical="center" wrapText="1"/>
      <protection locked="0"/>
    </xf>
    <xf numFmtId="4" fontId="34" fillId="0" borderId="42" xfId="0" applyNumberFormat="1" applyFont="1" applyBorder="1" applyAlignment="1" applyProtection="1">
      <alignment vertical="center" wrapText="1"/>
      <protection locked="0"/>
    </xf>
    <xf numFmtId="4" fontId="34" fillId="0" borderId="23" xfId="0" applyNumberFormat="1" applyFont="1" applyBorder="1" applyAlignment="1" applyProtection="1">
      <alignment vertical="center" wrapText="1"/>
      <protection locked="0"/>
    </xf>
    <xf numFmtId="4" fontId="43" fillId="0" borderId="58" xfId="0" applyNumberFormat="1" applyFont="1" applyBorder="1" applyAlignment="1" applyProtection="1">
      <alignment horizontal="left" vertical="center" wrapText="1" indent="1"/>
      <protection locked="0"/>
    </xf>
    <xf numFmtId="4" fontId="43" fillId="0" borderId="53" xfId="0" applyNumberFormat="1" applyFont="1" applyBorder="1" applyAlignment="1" applyProtection="1">
      <alignment horizontal="left" vertical="center" wrapText="1" indent="1"/>
      <protection locked="0"/>
    </xf>
    <xf numFmtId="4" fontId="43" fillId="0" borderId="31" xfId="0" applyNumberFormat="1" applyFont="1" applyBorder="1" applyAlignment="1" applyProtection="1">
      <alignment horizontal="left" vertical="center" wrapText="1" indent="1"/>
      <protection locked="0"/>
    </xf>
    <xf numFmtId="0" fontId="34" fillId="0" borderId="0" xfId="0" applyFont="1" applyAlignment="1">
      <alignment horizontal="center" wrapText="1"/>
    </xf>
    <xf numFmtId="0" fontId="34" fillId="0" borderId="0" xfId="0" applyFont="1"/>
    <xf numFmtId="0" fontId="61" fillId="0" borderId="0" xfId="0" applyFont="1" applyAlignment="1">
      <alignment horizontal="center" wrapText="1"/>
    </xf>
    <xf numFmtId="4" fontId="35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vertical="center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35" fillId="41" borderId="5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6" xfId="0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4" fontId="35" fillId="44" borderId="99" xfId="0" applyNumberFormat="1" applyFont="1" applyFill="1" applyBorder="1" applyAlignment="1">
      <alignment horizontal="center" vertical="center" wrapText="1"/>
    </xf>
    <xf numFmtId="4" fontId="34" fillId="44" borderId="100" xfId="0" applyNumberFormat="1" applyFont="1" applyFill="1" applyBorder="1" applyAlignment="1">
      <alignment horizontal="center" vertical="center"/>
    </xf>
    <xf numFmtId="4" fontId="34" fillId="44" borderId="62" xfId="0" applyNumberFormat="1" applyFont="1" applyFill="1" applyBorder="1" applyAlignment="1">
      <alignment horizontal="center" vertical="center"/>
    </xf>
    <xf numFmtId="4" fontId="35" fillId="44" borderId="60" xfId="0" applyNumberFormat="1" applyFont="1" applyFill="1" applyBorder="1" applyAlignment="1" applyProtection="1">
      <alignment horizontal="left" vertical="center"/>
      <protection locked="0"/>
    </xf>
    <xf numFmtId="4" fontId="35" fillId="44" borderId="41" xfId="0" applyNumberFormat="1" applyFont="1" applyFill="1" applyBorder="1" applyAlignment="1" applyProtection="1">
      <alignment horizontal="left" vertical="center"/>
      <protection locked="0"/>
    </xf>
    <xf numFmtId="4" fontId="35" fillId="44" borderId="19" xfId="0" applyNumberFormat="1" applyFont="1" applyFill="1" applyBorder="1" applyAlignment="1" applyProtection="1">
      <alignment horizontal="left" vertical="center"/>
      <protection locked="0"/>
    </xf>
    <xf numFmtId="4" fontId="35" fillId="0" borderId="0" xfId="0" applyNumberFormat="1" applyFont="1" applyAlignment="1">
      <alignment horizontal="left" vertical="center"/>
    </xf>
    <xf numFmtId="4" fontId="35" fillId="44" borderId="60" xfId="0" applyNumberFormat="1" applyFont="1" applyFill="1" applyBorder="1" applyAlignment="1" applyProtection="1">
      <alignment horizontal="center" vertical="center"/>
      <protection locked="0"/>
    </xf>
    <xf numFmtId="4" fontId="35" fillId="44" borderId="41" xfId="0" applyNumberFormat="1" applyFont="1" applyFill="1" applyBorder="1" applyAlignment="1" applyProtection="1">
      <alignment horizontal="center" vertical="center"/>
      <protection locked="0"/>
    </xf>
    <xf numFmtId="4" fontId="35" fillId="44" borderId="19" xfId="0" applyNumberFormat="1" applyFont="1" applyFill="1" applyBorder="1" applyAlignment="1" applyProtection="1">
      <alignment horizontal="center" vertical="center"/>
      <protection locked="0"/>
    </xf>
    <xf numFmtId="4" fontId="34" fillId="0" borderId="74" xfId="0" applyNumberFormat="1" applyFont="1" applyBorder="1" applyAlignment="1" applyProtection="1">
      <alignment vertical="center"/>
      <protection locked="0"/>
    </xf>
    <xf numFmtId="4" fontId="34" fillId="0" borderId="70" xfId="0" applyNumberFormat="1" applyFont="1" applyBorder="1" applyAlignment="1" applyProtection="1">
      <alignment vertical="center"/>
      <protection locked="0"/>
    </xf>
    <xf numFmtId="4" fontId="34" fillId="0" borderId="27" xfId="0" applyNumberFormat="1" applyFont="1" applyBorder="1" applyAlignment="1" applyProtection="1">
      <alignment vertical="center"/>
      <protection locked="0"/>
    </xf>
    <xf numFmtId="4" fontId="35" fillId="0" borderId="60" xfId="0" applyNumberFormat="1" applyFont="1" applyBorder="1" applyAlignment="1" applyProtection="1">
      <alignment vertical="center"/>
      <protection locked="0"/>
    </xf>
    <xf numFmtId="4" fontId="35" fillId="0" borderId="41" xfId="0" applyNumberFormat="1" applyFont="1" applyBorder="1" applyAlignment="1" applyProtection="1">
      <alignment vertical="center"/>
      <protection locked="0"/>
    </xf>
    <xf numFmtId="4" fontId="35" fillId="0" borderId="19" xfId="0" applyNumberFormat="1" applyFont="1" applyBorder="1" applyAlignment="1" applyProtection="1">
      <alignment vertical="center"/>
      <protection locked="0"/>
    </xf>
    <xf numFmtId="4" fontId="34" fillId="0" borderId="57" xfId="0" applyNumberFormat="1" applyFont="1" applyBorder="1" applyAlignment="1" applyProtection="1">
      <alignment vertical="center"/>
      <protection locked="0"/>
    </xf>
    <xf numFmtId="4" fontId="34" fillId="0" borderId="42" xfId="0" applyNumberFormat="1" applyFont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4" fontId="35" fillId="41" borderId="73" xfId="0" applyNumberFormat="1" applyFont="1" applyFill="1" applyBorder="1" applyAlignment="1">
      <alignment horizontal="center" vertical="center"/>
    </xf>
    <xf numFmtId="4" fontId="35" fillId="41" borderId="56" xfId="0" applyNumberFormat="1" applyFont="1" applyFill="1" applyBorder="1" applyAlignment="1">
      <alignment horizontal="center" vertical="center"/>
    </xf>
    <xf numFmtId="4" fontId="35" fillId="44" borderId="86" xfId="0" applyNumberFormat="1" applyFont="1" applyFill="1" applyBorder="1" applyAlignment="1">
      <alignment horizontal="center" vertical="center"/>
    </xf>
    <xf numFmtId="4" fontId="35" fillId="41" borderId="14" xfId="0" applyNumberFormat="1" applyFont="1" applyFill="1" applyBorder="1" applyAlignment="1">
      <alignment horizontal="center" vertical="center"/>
    </xf>
    <xf numFmtId="4" fontId="43" fillId="0" borderId="74" xfId="0" applyNumberFormat="1" applyFont="1" applyBorder="1" applyAlignment="1" applyProtection="1">
      <alignment horizontal="left" vertical="center" wrapText="1" indent="1"/>
      <protection locked="0"/>
    </xf>
    <xf numFmtId="4" fontId="43" fillId="0" borderId="70" xfId="0" applyNumberFormat="1" applyFont="1" applyBorder="1" applyAlignment="1" applyProtection="1">
      <alignment horizontal="left" vertical="center" wrapText="1" indent="1"/>
      <protection locked="0"/>
    </xf>
    <xf numFmtId="4" fontId="43" fillId="0" borderId="27" xfId="0" applyNumberFormat="1" applyFont="1" applyBorder="1" applyAlignment="1" applyProtection="1">
      <alignment horizontal="left" vertical="center" wrapText="1" indent="1"/>
      <protection locked="0"/>
    </xf>
    <xf numFmtId="0" fontId="35" fillId="0" borderId="0" xfId="0" applyFont="1" applyAlignment="1">
      <alignment horizontal="left" wrapText="1"/>
    </xf>
    <xf numFmtId="14" fontId="34" fillId="0" borderId="0" xfId="0" applyNumberFormat="1" applyFont="1" applyAlignment="1">
      <alignment horizontal="center" wrapText="1"/>
    </xf>
    <xf numFmtId="4" fontId="35" fillId="0" borderId="97" xfId="0" applyNumberFormat="1" applyFont="1" applyBorder="1" applyAlignment="1">
      <alignment vertical="center" wrapText="1"/>
    </xf>
    <xf numFmtId="4" fontId="35" fillId="0" borderId="23" xfId="0" applyNumberFormat="1" applyFont="1" applyBorder="1" applyAlignment="1">
      <alignment vertical="center" wrapText="1"/>
    </xf>
    <xf numFmtId="4" fontId="34" fillId="0" borderId="54" xfId="0" applyNumberFormat="1" applyFont="1" applyBorder="1" applyAlignment="1">
      <alignment vertical="center" wrapText="1"/>
    </xf>
    <xf numFmtId="4" fontId="34" fillId="0" borderId="31" xfId="0" applyNumberFormat="1" applyFont="1" applyBorder="1" applyAlignment="1">
      <alignment vertical="center" wrapText="1"/>
    </xf>
    <xf numFmtId="4" fontId="34" fillId="0" borderId="43" xfId="0" applyNumberFormat="1" applyFont="1" applyBorder="1" applyAlignment="1">
      <alignment vertical="center" wrapText="1"/>
    </xf>
    <xf numFmtId="4" fontId="34" fillId="0" borderId="25" xfId="0" applyNumberFormat="1" applyFont="1" applyBorder="1" applyAlignment="1">
      <alignment vertical="center" wrapText="1"/>
    </xf>
    <xf numFmtId="4" fontId="34" fillId="0" borderId="43" xfId="0" applyNumberFormat="1" applyFont="1" applyBorder="1" applyAlignment="1">
      <alignment horizontal="left" vertical="center" wrapText="1"/>
    </xf>
    <xf numFmtId="4" fontId="34" fillId="0" borderId="25" xfId="0" applyNumberFormat="1" applyFont="1" applyBorder="1" applyAlignment="1">
      <alignment horizontal="left" vertical="center" wrapText="1"/>
    </xf>
    <xf numFmtId="4" fontId="34" fillId="0" borderId="98" xfId="0" applyNumberFormat="1" applyFont="1" applyBorder="1" applyAlignment="1">
      <alignment horizontal="left" vertical="center" wrapText="1"/>
    </xf>
    <xf numFmtId="4" fontId="34" fillId="0" borderId="27" xfId="0" applyNumberFormat="1" applyFont="1" applyBorder="1" applyAlignment="1">
      <alignment horizontal="left" vertical="center" wrapText="1"/>
    </xf>
    <xf numFmtId="4" fontId="35" fillId="41" borderId="51" xfId="0" applyNumberFormat="1" applyFont="1" applyFill="1" applyBorder="1" applyAlignment="1">
      <alignment vertical="center"/>
    </xf>
    <xf numFmtId="4" fontId="35" fillId="41" borderId="19" xfId="0" applyNumberFormat="1" applyFont="1" applyFill="1" applyBorder="1" applyAlignment="1">
      <alignment vertical="center"/>
    </xf>
    <xf numFmtId="4" fontId="35" fillId="41" borderId="60" xfId="0" applyNumberFormat="1" applyFont="1" applyFill="1" applyBorder="1" applyAlignment="1">
      <alignment horizontal="center" vertical="center" wrapText="1"/>
    </xf>
    <xf numFmtId="4" fontId="35" fillId="41" borderId="19" xfId="0" applyNumberFormat="1" applyFont="1" applyFill="1" applyBorder="1" applyAlignment="1">
      <alignment horizontal="center" vertical="center" wrapText="1"/>
    </xf>
    <xf numFmtId="4" fontId="34" fillId="0" borderId="60" xfId="0" applyNumberFormat="1" applyFont="1" applyBorder="1" applyAlignment="1">
      <alignment vertical="center" wrapText="1"/>
    </xf>
    <xf numFmtId="4" fontId="34" fillId="0" borderId="19" xfId="0" applyNumberFormat="1" applyFont="1" applyBorder="1" applyAlignment="1">
      <alignment vertical="center" wrapText="1"/>
    </xf>
    <xf numFmtId="4" fontId="34" fillId="0" borderId="58" xfId="0" applyNumberFormat="1" applyFont="1" applyBorder="1" applyAlignment="1" applyProtection="1">
      <alignment vertical="center"/>
      <protection locked="0"/>
    </xf>
    <xf numFmtId="4" fontId="34" fillId="0" borderId="53" xfId="0" applyNumberFormat="1" applyFont="1" applyBorder="1" applyAlignment="1" applyProtection="1">
      <alignment vertical="center"/>
      <protection locked="0"/>
    </xf>
    <xf numFmtId="4" fontId="34" fillId="0" borderId="31" xfId="0" applyNumberFormat="1" applyFont="1" applyBorder="1" applyAlignment="1" applyProtection="1">
      <alignment vertical="center"/>
      <protection locked="0"/>
    </xf>
    <xf numFmtId="4" fontId="34" fillId="0" borderId="57" xfId="0" applyNumberFormat="1" applyFont="1" applyBorder="1" applyAlignment="1" applyProtection="1">
      <alignment horizontal="left" vertical="center"/>
      <protection locked="0"/>
    </xf>
    <xf numFmtId="4" fontId="34" fillId="0" borderId="23" xfId="0" applyNumberFormat="1" applyFont="1" applyBorder="1" applyAlignment="1" applyProtection="1">
      <alignment horizontal="left" vertical="center"/>
      <protection locked="0"/>
    </xf>
    <xf numFmtId="4" fontId="35" fillId="0" borderId="57" xfId="0" applyNumberFormat="1" applyFont="1" applyBorder="1" applyAlignment="1" applyProtection="1">
      <alignment vertical="center" wrapText="1"/>
      <protection locked="0"/>
    </xf>
    <xf numFmtId="4" fontId="35" fillId="0" borderId="42" xfId="0" applyNumberFormat="1" applyFont="1" applyBorder="1" applyAlignment="1" applyProtection="1">
      <alignment vertical="center" wrapText="1"/>
      <protection locked="0"/>
    </xf>
    <xf numFmtId="4" fontId="35" fillId="0" borderId="23" xfId="0" applyNumberFormat="1" applyFont="1" applyBorder="1" applyAlignment="1" applyProtection="1">
      <alignment vertical="center" wrapText="1"/>
      <protection locked="0"/>
    </xf>
    <xf numFmtId="4" fontId="35" fillId="0" borderId="60" xfId="0" applyNumberFormat="1" applyFont="1" applyBorder="1" applyAlignment="1" applyProtection="1">
      <alignment horizontal="left" vertical="center" wrapText="1"/>
      <protection locked="0"/>
    </xf>
    <xf numFmtId="4" fontId="35" fillId="0" borderId="41" xfId="0" applyNumberFormat="1" applyFont="1" applyBorder="1" applyAlignment="1" applyProtection="1">
      <alignment horizontal="left" vertical="center" wrapText="1"/>
      <protection locked="0"/>
    </xf>
    <xf numFmtId="4" fontId="35" fillId="0" borderId="19" xfId="0" applyNumberFormat="1" applyFont="1" applyBorder="1" applyAlignment="1" applyProtection="1">
      <alignment horizontal="left" vertical="center" wrapText="1"/>
      <protection locked="0"/>
    </xf>
    <xf numFmtId="4" fontId="35" fillId="0" borderId="59" xfId="0" applyNumberFormat="1" applyFont="1" applyBorder="1" applyAlignment="1" applyProtection="1">
      <alignment vertical="center" wrapText="1"/>
      <protection locked="0"/>
    </xf>
    <xf numFmtId="4" fontId="35" fillId="0" borderId="44" xfId="0" applyNumberFormat="1" applyFont="1" applyBorder="1" applyAlignment="1" applyProtection="1">
      <alignment vertical="center" wrapText="1"/>
      <protection locked="0"/>
    </xf>
    <xf numFmtId="4" fontId="35" fillId="0" borderId="25" xfId="0" applyNumberFormat="1" applyFont="1" applyBorder="1" applyAlignment="1" applyProtection="1">
      <alignment vertical="center" wrapText="1"/>
      <protection locked="0"/>
    </xf>
    <xf numFmtId="4" fontId="35" fillId="0" borderId="86" xfId="0" applyNumberFormat="1" applyFont="1" applyBorder="1" applyAlignment="1" applyProtection="1">
      <alignment vertical="center" wrapText="1"/>
      <protection locked="0"/>
    </xf>
    <xf numFmtId="4" fontId="35" fillId="0" borderId="14" xfId="0" applyNumberFormat="1" applyFont="1" applyBorder="1" applyAlignment="1" applyProtection="1">
      <alignment vertical="center" wrapText="1"/>
      <protection locked="0"/>
    </xf>
    <xf numFmtId="4" fontId="35" fillId="0" borderId="13" xfId="0" applyNumberFormat="1" applyFont="1" applyBorder="1" applyAlignment="1" applyProtection="1">
      <alignment vertical="center" wrapText="1"/>
      <protection locked="0"/>
    </xf>
    <xf numFmtId="4" fontId="34" fillId="0" borderId="59" xfId="0" applyNumberFormat="1" applyFont="1" applyBorder="1" applyAlignment="1">
      <alignment vertical="center" wrapText="1"/>
    </xf>
    <xf numFmtId="4" fontId="34" fillId="0" borderId="44" xfId="0" applyNumberFormat="1" applyFont="1" applyBorder="1" applyAlignment="1">
      <alignment vertical="center" wrapText="1"/>
    </xf>
    <xf numFmtId="4" fontId="35" fillId="0" borderId="59" xfId="0" applyNumberFormat="1" applyFont="1" applyBorder="1" applyAlignment="1" applyProtection="1">
      <alignment vertical="center"/>
      <protection locked="0"/>
    </xf>
    <xf numFmtId="4" fontId="35" fillId="0" borderId="44" xfId="0" applyNumberFormat="1" applyFont="1" applyBorder="1" applyAlignment="1" applyProtection="1">
      <alignment vertical="center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4" fontId="35" fillId="0" borderId="86" xfId="0" applyNumberFormat="1" applyFont="1" applyBorder="1" applyAlignment="1" applyProtection="1">
      <alignment vertical="center"/>
      <protection locked="0"/>
    </xf>
    <xf numFmtId="4" fontId="35" fillId="0" borderId="14" xfId="0" applyNumberFormat="1" applyFont="1" applyBorder="1" applyAlignment="1" applyProtection="1">
      <alignment vertical="center"/>
      <protection locked="0"/>
    </xf>
    <xf numFmtId="4" fontId="35" fillId="0" borderId="13" xfId="0" applyNumberFormat="1" applyFont="1" applyBorder="1" applyAlignment="1" applyProtection="1">
      <alignment vertical="center"/>
      <protection locked="0"/>
    </xf>
    <xf numFmtId="4" fontId="35" fillId="44" borderId="73" xfId="0" applyNumberFormat="1" applyFont="1" applyFill="1" applyBorder="1" applyAlignment="1" applyProtection="1">
      <alignment horizontal="center" vertical="center"/>
      <protection locked="0"/>
    </xf>
    <xf numFmtId="4" fontId="35" fillId="44" borderId="69" xfId="0" applyNumberFormat="1" applyFont="1" applyFill="1" applyBorder="1" applyAlignment="1" applyProtection="1">
      <alignment horizontal="center" vertical="center"/>
      <protection locked="0"/>
    </xf>
    <xf numFmtId="4" fontId="35" fillId="41" borderId="6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8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4" fontId="34" fillId="0" borderId="59" xfId="0" applyNumberFormat="1" applyFont="1" applyBorder="1" applyAlignment="1">
      <alignment horizontal="left" vertical="center"/>
    </xf>
    <xf numFmtId="4" fontId="34" fillId="0" borderId="74" xfId="0" applyNumberFormat="1" applyFont="1" applyBorder="1" applyAlignment="1" applyProtection="1">
      <alignment horizontal="left" vertical="center" wrapText="1"/>
      <protection locked="0"/>
    </xf>
    <xf numFmtId="4" fontId="34" fillId="0" borderId="27" xfId="0" applyNumberFormat="1" applyFont="1" applyBorder="1" applyAlignment="1" applyProtection="1">
      <alignment horizontal="left" vertical="center" wrapText="1"/>
      <protection locked="0"/>
    </xf>
    <xf numFmtId="4" fontId="35" fillId="41" borderId="60" xfId="0" applyNumberFormat="1" applyFont="1" applyFill="1" applyBorder="1" applyAlignment="1" applyProtection="1">
      <alignment vertical="center"/>
      <protection locked="0"/>
    </xf>
    <xf numFmtId="4" fontId="35" fillId="41" borderId="19" xfId="0" applyNumberFormat="1" applyFont="1" applyFill="1" applyBorder="1" applyAlignment="1" applyProtection="1">
      <alignment vertical="center"/>
      <protection locked="0"/>
    </xf>
    <xf numFmtId="4" fontId="35" fillId="41" borderId="60" xfId="0" applyNumberFormat="1" applyFont="1" applyFill="1" applyBorder="1" applyAlignment="1">
      <alignment horizontal="left" vertical="center"/>
    </xf>
    <xf numFmtId="4" fontId="35" fillId="41" borderId="19" xfId="0" applyNumberFormat="1" applyFont="1" applyFill="1" applyBorder="1" applyAlignment="1">
      <alignment horizontal="left" vertical="center"/>
    </xf>
    <xf numFmtId="4" fontId="34" fillId="0" borderId="59" xfId="0" applyNumberFormat="1" applyFont="1" applyBorder="1" applyAlignment="1">
      <alignment horizontal="left" vertical="center" wrapText="1"/>
    </xf>
    <xf numFmtId="4" fontId="35" fillId="44" borderId="60" xfId="0" applyNumberFormat="1" applyFont="1" applyFill="1" applyBorder="1" applyAlignment="1" applyProtection="1">
      <alignment vertical="center" wrapText="1"/>
      <protection locked="0"/>
    </xf>
    <xf numFmtId="0" fontId="34" fillId="0" borderId="101" xfId="0" applyFont="1" applyBorder="1" applyAlignment="1">
      <alignment vertical="center"/>
    </xf>
    <xf numFmtId="4" fontId="4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4" fontId="38" fillId="0" borderId="0" xfId="0" applyNumberFormat="1" applyFont="1" applyAlignment="1" applyProtection="1">
      <alignment horizontal="left" vertical="center"/>
      <protection locked="0"/>
    </xf>
    <xf numFmtId="0" fontId="34" fillId="0" borderId="96" xfId="0" applyFont="1" applyBorder="1" applyAlignment="1">
      <alignment vertical="center"/>
    </xf>
    <xf numFmtId="4" fontId="34" fillId="0" borderId="60" xfId="0" applyNumberFormat="1" applyFont="1" applyBorder="1" applyAlignment="1">
      <alignment horizontal="right" vertical="center"/>
    </xf>
    <xf numFmtId="0" fontId="34" fillId="0" borderId="19" xfId="0" applyFont="1" applyBorder="1" applyAlignment="1">
      <alignment horizontal="right" vertical="center"/>
    </xf>
    <xf numFmtId="4" fontId="34" fillId="0" borderId="59" xfId="0" applyNumberFormat="1" applyFont="1" applyBorder="1" applyAlignment="1" applyProtection="1">
      <alignment horizontal="left" vertical="center" wrapText="1" indent="1"/>
      <protection locked="0"/>
    </xf>
    <xf numFmtId="4" fontId="34" fillId="0" borderId="25" xfId="0" applyNumberFormat="1" applyFont="1" applyBorder="1" applyAlignment="1" applyProtection="1">
      <alignment horizontal="left" vertical="center" wrapText="1" indent="1"/>
      <protection locked="0"/>
    </xf>
    <xf numFmtId="4" fontId="35" fillId="41" borderId="60" xfId="0" applyNumberFormat="1" applyFont="1" applyFill="1" applyBorder="1" applyAlignment="1">
      <alignment horizontal="center" vertical="center"/>
    </xf>
    <xf numFmtId="4" fontId="35" fillId="41" borderId="19" xfId="0" applyNumberFormat="1" applyFont="1" applyFill="1" applyBorder="1" applyAlignment="1">
      <alignment horizontal="center" vertical="center"/>
    </xf>
    <xf numFmtId="4" fontId="35" fillId="0" borderId="57" xfId="0" applyNumberFormat="1" applyFont="1" applyBorder="1" applyAlignment="1">
      <alignment horizontal="left" vertical="center" wrapText="1"/>
    </xf>
    <xf numFmtId="0" fontId="34" fillId="0" borderId="23" xfId="0" applyFont="1" applyBorder="1" applyAlignment="1">
      <alignment vertical="center"/>
    </xf>
    <xf numFmtId="14" fontId="35" fillId="0" borderId="0" xfId="0" applyNumberFormat="1" applyFont="1" applyAlignment="1">
      <alignment horizontal="left" wrapText="1"/>
    </xf>
    <xf numFmtId="0" fontId="6" fillId="45" borderId="126" xfId="0" applyFont="1" applyFill="1" applyBorder="1"/>
    <xf numFmtId="0" fontId="6" fillId="45" borderId="105" xfId="0" applyFont="1" applyFill="1" applyBorder="1"/>
    <xf numFmtId="0" fontId="34" fillId="0" borderId="126" xfId="0" applyFont="1" applyBorder="1" applyAlignment="1">
      <alignment horizontal="left" wrapText="1" indent="1"/>
    </xf>
    <xf numFmtId="0" fontId="34" fillId="0" borderId="138" xfId="0" applyFont="1" applyBorder="1" applyAlignment="1">
      <alignment horizontal="left" wrapText="1" indent="1"/>
    </xf>
    <xf numFmtId="0" fontId="35" fillId="45" borderId="55" xfId="0" applyFont="1" applyFill="1" applyBorder="1" applyAlignment="1">
      <alignment horizontal="center" wrapText="1"/>
    </xf>
    <xf numFmtId="0" fontId="34" fillId="0" borderId="52" xfId="0" applyFont="1" applyBorder="1" applyAlignment="1">
      <alignment horizontal="center" wrapText="1"/>
    </xf>
    <xf numFmtId="0" fontId="35" fillId="0" borderId="60" xfId="40" applyFont="1" applyBorder="1" applyAlignment="1">
      <alignment vertical="center" wrapText="1"/>
    </xf>
    <xf numFmtId="0" fontId="35" fillId="0" borderId="41" xfId="40" applyFont="1" applyBorder="1" applyAlignment="1">
      <alignment vertical="center" wrapText="1"/>
    </xf>
    <xf numFmtId="0" fontId="35" fillId="0" borderId="19" xfId="40" applyFont="1" applyBorder="1" applyAlignment="1">
      <alignment vertical="center" wrapText="1"/>
    </xf>
    <xf numFmtId="0" fontId="38" fillId="0" borderId="0" xfId="0" applyFont="1" applyAlignment="1">
      <alignment horizontal="left" wrapText="1"/>
    </xf>
    <xf numFmtId="0" fontId="34" fillId="0" borderId="140" xfId="0" applyFont="1" applyBorder="1" applyAlignment="1">
      <alignment wrapText="1"/>
    </xf>
    <xf numFmtId="0" fontId="34" fillId="0" borderId="141" xfId="0" applyFont="1" applyBorder="1" applyAlignment="1">
      <alignment wrapText="1"/>
    </xf>
    <xf numFmtId="0" fontId="34" fillId="0" borderId="126" xfId="0" applyFont="1" applyBorder="1" applyAlignment="1">
      <alignment wrapText="1"/>
    </xf>
    <xf numFmtId="0" fontId="34" fillId="0" borderId="138" xfId="0" applyFont="1" applyBorder="1" applyAlignment="1">
      <alignment wrapText="1"/>
    </xf>
    <xf numFmtId="0" fontId="34" fillId="0" borderId="23" xfId="0" applyFont="1" applyBorder="1" applyAlignment="1">
      <alignment horizontal="left" vertical="center" wrapText="1"/>
    </xf>
    <xf numFmtId="0" fontId="34" fillId="0" borderId="124" xfId="0" applyFont="1" applyBorder="1" applyAlignment="1">
      <alignment horizontal="left" wrapText="1" indent="1"/>
    </xf>
    <xf numFmtId="0" fontId="34" fillId="0" borderId="142" xfId="0" applyFont="1" applyBorder="1" applyAlignment="1">
      <alignment horizontal="left" wrapText="1" indent="1"/>
    </xf>
    <xf numFmtId="4" fontId="6" fillId="0" borderId="0" xfId="39" applyNumberFormat="1" applyFont="1" applyAlignment="1">
      <alignment horizontal="left" vertical="top" wrapText="1"/>
    </xf>
    <xf numFmtId="0" fontId="78" fillId="0" borderId="0" xfId="0" applyFont="1" applyAlignment="1">
      <alignment wrapText="1"/>
    </xf>
    <xf numFmtId="0" fontId="78" fillId="0" borderId="14" xfId="0" applyFont="1" applyBorder="1" applyAlignment="1">
      <alignment wrapText="1"/>
    </xf>
    <xf numFmtId="0" fontId="6" fillId="45" borderId="5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wrapText="1"/>
    </xf>
    <xf numFmtId="0" fontId="132" fillId="46" borderId="105" xfId="0" applyFont="1" applyFill="1" applyBorder="1"/>
    <xf numFmtId="0" fontId="6" fillId="45" borderId="73" xfId="0" applyFont="1" applyFill="1" applyBorder="1" applyAlignment="1">
      <alignment horizontal="center" vertical="center" wrapText="1"/>
    </xf>
    <xf numFmtId="0" fontId="6" fillId="45" borderId="69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4" xfId="0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 wrapText="1"/>
    </xf>
    <xf numFmtId="0" fontId="79" fillId="44" borderId="60" xfId="0" applyFont="1" applyFill="1" applyBorder="1" applyAlignment="1">
      <alignment horizontal="center" wrapText="1"/>
    </xf>
    <xf numFmtId="0" fontId="79" fillId="44" borderId="41" xfId="0" applyFont="1" applyFill="1" applyBorder="1" applyAlignment="1">
      <alignment horizontal="center" wrapText="1"/>
    </xf>
    <xf numFmtId="0" fontId="79" fillId="44" borderId="19" xfId="0" applyFont="1" applyFill="1" applyBorder="1" applyAlignment="1">
      <alignment horizontal="center" wrapText="1"/>
    </xf>
    <xf numFmtId="0" fontId="85" fillId="44" borderId="73" xfId="0" applyFont="1" applyFill="1" applyBorder="1" applyAlignment="1">
      <alignment horizontal="center" wrapText="1"/>
    </xf>
    <xf numFmtId="0" fontId="85" fillId="44" borderId="134" xfId="0" applyFont="1" applyFill="1" applyBorder="1" applyAlignment="1">
      <alignment horizontal="center" wrapText="1"/>
    </xf>
    <xf numFmtId="0" fontId="85" fillId="44" borderId="61" xfId="0" applyFont="1" applyFill="1" applyBorder="1" applyAlignment="1">
      <alignment horizontal="center" wrapText="1"/>
    </xf>
    <xf numFmtId="0" fontId="85" fillId="44" borderId="11" xfId="0" applyFont="1" applyFill="1" applyBorder="1" applyAlignment="1">
      <alignment horizontal="center" wrapText="1"/>
    </xf>
    <xf numFmtId="0" fontId="80" fillId="44" borderId="61" xfId="40" applyFont="1" applyFill="1" applyBorder="1" applyAlignment="1">
      <alignment wrapText="1"/>
    </xf>
    <xf numFmtId="0" fontId="80" fillId="44" borderId="11" xfId="40" applyFont="1" applyFill="1" applyBorder="1" applyAlignment="1">
      <alignment wrapText="1"/>
    </xf>
    <xf numFmtId="0" fontId="85" fillId="44" borderId="135" xfId="0" applyFont="1" applyFill="1" applyBorder="1" applyAlignment="1">
      <alignment horizontal="center" wrapText="1"/>
    </xf>
    <xf numFmtId="0" fontId="85" fillId="44" borderId="136" xfId="0" applyFont="1" applyFill="1" applyBorder="1" applyAlignment="1">
      <alignment horizontal="center" wrapText="1"/>
    </xf>
    <xf numFmtId="0" fontId="79" fillId="44" borderId="131" xfId="0" applyFont="1" applyFill="1" applyBorder="1" applyAlignment="1">
      <alignment horizontal="center" wrapText="1"/>
    </xf>
    <xf numFmtId="0" fontId="79" fillId="44" borderId="121" xfId="0" applyFont="1" applyFill="1" applyBorder="1" applyAlignment="1">
      <alignment horizontal="center" wrapText="1"/>
    </xf>
    <xf numFmtId="0" fontId="131" fillId="0" borderId="0" xfId="0" applyFont="1" applyAlignment="1">
      <alignment horizontal="left" wrapText="1"/>
    </xf>
    <xf numFmtId="0" fontId="79" fillId="44" borderId="132" xfId="0" applyFont="1" applyFill="1" applyBorder="1" applyAlignment="1">
      <alignment horizontal="center" wrapText="1"/>
    </xf>
    <xf numFmtId="0" fontId="79" fillId="44" borderId="122" xfId="0" applyFont="1" applyFill="1" applyBorder="1" applyAlignment="1">
      <alignment horizontal="center" wrapText="1"/>
    </xf>
    <xf numFmtId="0" fontId="81" fillId="0" borderId="126" xfId="0" applyFont="1" applyBorder="1"/>
    <xf numFmtId="0" fontId="81" fillId="0" borderId="133" xfId="0" applyFont="1" applyBorder="1"/>
    <xf numFmtId="0" fontId="81" fillId="0" borderId="127" xfId="0" applyFont="1" applyBorder="1"/>
    <xf numFmtId="0" fontId="81" fillId="0" borderId="105" xfId="0" applyFont="1" applyBorder="1"/>
    <xf numFmtId="0" fontId="81" fillId="0" borderId="126" xfId="0" applyFont="1" applyFill="1" applyBorder="1"/>
    <xf numFmtId="0" fontId="81" fillId="0" borderId="127" xfId="0" applyFont="1" applyFill="1" applyBorder="1"/>
    <xf numFmtId="0" fontId="81" fillId="0" borderId="105" xfId="0" applyFont="1" applyFill="1" applyBorder="1"/>
    <xf numFmtId="4" fontId="38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vertical="center"/>
    </xf>
    <xf numFmtId="0" fontId="34" fillId="0" borderId="19" xfId="0" applyFont="1" applyBorder="1" applyAlignment="1">
      <alignment horizontal="center" vertical="center"/>
    </xf>
    <xf numFmtId="4" fontId="34" fillId="0" borderId="57" xfId="0" applyNumberFormat="1" applyFont="1" applyBorder="1" applyAlignment="1" applyProtection="1">
      <alignment horizontal="left" vertical="center" wrapText="1"/>
      <protection locked="0"/>
    </xf>
    <xf numFmtId="4" fontId="34" fillId="0" borderId="42" xfId="0" applyNumberFormat="1" applyFont="1" applyBorder="1" applyAlignment="1" applyProtection="1">
      <alignment horizontal="left" vertical="center" wrapText="1"/>
      <protection locked="0"/>
    </xf>
    <xf numFmtId="4" fontId="34" fillId="0" borderId="23" xfId="0" applyNumberFormat="1" applyFont="1" applyBorder="1" applyAlignment="1" applyProtection="1">
      <alignment horizontal="left" vertical="center" wrapText="1"/>
      <protection locked="0"/>
    </xf>
    <xf numFmtId="0" fontId="6" fillId="45" borderId="124" xfId="0" applyFont="1" applyFill="1" applyBorder="1"/>
    <xf numFmtId="0" fontId="6" fillId="45" borderId="137" xfId="0" applyFont="1" applyFill="1" applyBorder="1"/>
    <xf numFmtId="0" fontId="133" fillId="0" borderId="126" xfId="0" applyFont="1" applyBorder="1"/>
    <xf numFmtId="0" fontId="133" fillId="0" borderId="105" xfId="0" applyFont="1" applyBorder="1"/>
    <xf numFmtId="0" fontId="39" fillId="0" borderId="0" xfId="0" applyFont="1" applyAlignment="1">
      <alignment horizontal="left"/>
    </xf>
    <xf numFmtId="0" fontId="6" fillId="0" borderId="126" xfId="0" applyFont="1" applyBorder="1"/>
    <xf numFmtId="0" fontId="6" fillId="0" borderId="105" xfId="0" applyFont="1" applyBorder="1"/>
    <xf numFmtId="0" fontId="131" fillId="0" borderId="0" xfId="0" applyFont="1" applyAlignment="1">
      <alignment horizontal="left"/>
    </xf>
    <xf numFmtId="0" fontId="134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4" fontId="35" fillId="44" borderId="56" xfId="0" applyNumberFormat="1" applyFont="1" applyFill="1" applyBorder="1" applyAlignment="1" applyProtection="1">
      <alignment horizontal="center" vertical="center"/>
      <protection locked="0"/>
    </xf>
    <xf numFmtId="4" fontId="35" fillId="44" borderId="86" xfId="0" applyNumberFormat="1" applyFont="1" applyFill="1" applyBorder="1" applyAlignment="1" applyProtection="1">
      <alignment horizontal="center" vertical="center"/>
      <protection locked="0"/>
    </xf>
    <xf numFmtId="4" fontId="35" fillId="44" borderId="14" xfId="0" applyNumberFormat="1" applyFont="1" applyFill="1" applyBorder="1" applyAlignment="1" applyProtection="1">
      <alignment horizontal="center" vertical="center"/>
      <protection locked="0"/>
    </xf>
    <xf numFmtId="4" fontId="35" fillId="44" borderId="13" xfId="0" applyNumberFormat="1" applyFont="1" applyFill="1" applyBorder="1" applyAlignment="1" applyProtection="1">
      <alignment horizontal="center" vertical="center"/>
      <protection locked="0"/>
    </xf>
    <xf numFmtId="4" fontId="35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60" xfId="0" applyNumberFormat="1" applyFont="1" applyFill="1" applyBorder="1" applyAlignment="1" applyProtection="1">
      <alignment horizontal="center" vertical="center"/>
      <protection locked="0"/>
    </xf>
    <xf numFmtId="4" fontId="40" fillId="44" borderId="41" xfId="0" applyNumberFormat="1" applyFont="1" applyFill="1" applyBorder="1" applyAlignment="1" applyProtection="1">
      <alignment horizontal="center" vertical="center"/>
      <protection locked="0"/>
    </xf>
    <xf numFmtId="4" fontId="40" fillId="44" borderId="19" xfId="0" applyNumberFormat="1" applyFont="1" applyFill="1" applyBorder="1" applyAlignment="1" applyProtection="1">
      <alignment horizontal="center" vertical="center"/>
      <protection locked="0"/>
    </xf>
    <xf numFmtId="4" fontId="35" fillId="41" borderId="2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5" fillId="45" borderId="123" xfId="0" applyFont="1" applyFill="1" applyBorder="1" applyAlignment="1">
      <alignment wrapText="1"/>
    </xf>
    <xf numFmtId="0" fontId="35" fillId="45" borderId="139" xfId="0" applyFont="1" applyFill="1" applyBorder="1" applyAlignment="1">
      <alignment wrapText="1"/>
    </xf>
    <xf numFmtId="0" fontId="38" fillId="0" borderId="0" xfId="0" applyFont="1" applyAlignment="1">
      <alignment horizontal="left"/>
    </xf>
    <xf numFmtId="0" fontId="38" fillId="0" borderId="0" xfId="0" applyFont="1"/>
    <xf numFmtId="0" fontId="60" fillId="45" borderId="57" xfId="0" applyFont="1" applyFill="1" applyBorder="1" applyAlignment="1">
      <alignment horizontal="center" wrapText="1"/>
    </xf>
    <xf numFmtId="0" fontId="60" fillId="45" borderId="42" xfId="0" applyFont="1" applyFill="1" applyBorder="1" applyAlignment="1">
      <alignment horizontal="center" wrapText="1"/>
    </xf>
    <xf numFmtId="0" fontId="60" fillId="45" borderId="23" xfId="0" applyFont="1" applyFill="1" applyBorder="1" applyAlignment="1">
      <alignment horizontal="center" wrapText="1"/>
    </xf>
    <xf numFmtId="0" fontId="34" fillId="0" borderId="134" xfId="0" applyFont="1" applyBorder="1" applyAlignment="1">
      <alignment horizontal="left" wrapText="1" indent="1"/>
    </xf>
    <xf numFmtId="0" fontId="34" fillId="0" borderId="136" xfId="0" applyFont="1" applyBorder="1" applyAlignment="1">
      <alignment horizontal="left" wrapText="1" indent="1"/>
    </xf>
    <xf numFmtId="4" fontId="35" fillId="41" borderId="19" xfId="0" applyNumberFormat="1" applyFont="1" applyFill="1" applyBorder="1" applyAlignment="1" applyProtection="1">
      <alignment vertical="center" wrapText="1"/>
      <protection locked="0"/>
    </xf>
    <xf numFmtId="4" fontId="35" fillId="0" borderId="59" xfId="0" applyNumberFormat="1" applyFont="1" applyBorder="1" applyAlignment="1" applyProtection="1">
      <alignment horizontal="justify" vertical="center"/>
      <protection locked="0"/>
    </xf>
    <xf numFmtId="4" fontId="35" fillId="0" borderId="25" xfId="0" applyNumberFormat="1" applyFont="1" applyBorder="1" applyAlignment="1" applyProtection="1">
      <alignment horizontal="justify" vertical="center"/>
      <protection locked="0"/>
    </xf>
    <xf numFmtId="0" fontId="34" fillId="0" borderId="72" xfId="0" applyFont="1" applyBorder="1" applyAlignment="1">
      <alignment vertical="center"/>
    </xf>
    <xf numFmtId="4" fontId="35" fillId="44" borderId="60" xfId="0" applyNumberFormat="1" applyFont="1" applyFill="1" applyBorder="1" applyAlignment="1">
      <alignment horizontal="center" vertical="center" wrapText="1"/>
    </xf>
    <xf numFmtId="4" fontId="35" fillId="0" borderId="57" xfId="0" applyNumberFormat="1" applyFont="1" applyBorder="1" applyAlignment="1" applyProtection="1">
      <alignment horizontal="justify" vertical="center"/>
      <protection locked="0"/>
    </xf>
    <xf numFmtId="4" fontId="35" fillId="0" borderId="23" xfId="0" applyNumberFormat="1" applyFont="1" applyBorder="1" applyAlignment="1" applyProtection="1">
      <alignment horizontal="justify" vertical="center"/>
      <protection locked="0"/>
    </xf>
    <xf numFmtId="4" fontId="35" fillId="0" borderId="68" xfId="0" applyNumberFormat="1" applyFont="1" applyBorder="1" applyAlignment="1" applyProtection="1">
      <alignment horizontal="justify" vertical="center"/>
      <protection locked="0"/>
    </xf>
    <xf numFmtId="4" fontId="35" fillId="0" borderId="49" xfId="0" applyNumberFormat="1" applyFont="1" applyBorder="1" applyAlignment="1" applyProtection="1">
      <alignment horizontal="justify" vertical="center"/>
      <protection locked="0"/>
    </xf>
    <xf numFmtId="0" fontId="39" fillId="0" borderId="0" xfId="0" applyFont="1" applyAlignment="1">
      <alignment vertical="center" wrapText="1"/>
    </xf>
    <xf numFmtId="4" fontId="36" fillId="0" borderId="0" xfId="0" applyNumberFormat="1" applyFont="1" applyAlignment="1">
      <alignment vertical="center"/>
    </xf>
    <xf numFmtId="0" fontId="34" fillId="0" borderId="19" xfId="0" applyFont="1" applyBorder="1" applyAlignment="1">
      <alignment vertical="center" wrapText="1"/>
    </xf>
    <xf numFmtId="4" fontId="34" fillId="0" borderId="74" xfId="0" applyNumberFormat="1" applyFont="1" applyBorder="1" applyAlignment="1">
      <alignment horizontal="left" vertical="center" wrapText="1"/>
    </xf>
    <xf numFmtId="4" fontId="35" fillId="41" borderId="60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>
      <alignment horizontal="left" vertical="center"/>
    </xf>
    <xf numFmtId="4" fontId="35" fillId="0" borderId="57" xfId="0" applyNumberFormat="1" applyFont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4" fontId="35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60" xfId="0" applyNumberFormat="1" applyFont="1" applyBorder="1" applyAlignment="1">
      <alignment horizontal="center" vertical="center"/>
    </xf>
    <xf numFmtId="4" fontId="35" fillId="0" borderId="19" xfId="0" applyNumberFormat="1" applyFont="1" applyBorder="1" applyAlignment="1">
      <alignment horizontal="center" vertical="center"/>
    </xf>
    <xf numFmtId="4" fontId="34" fillId="0" borderId="0" xfId="0" applyNumberFormat="1" applyFont="1" applyAlignment="1">
      <alignment horizontal="center" vertical="center" wrapText="1"/>
    </xf>
    <xf numFmtId="4" fontId="35" fillId="0" borderId="57" xfId="0" applyNumberFormat="1" applyFont="1" applyBorder="1" applyAlignment="1" applyProtection="1">
      <alignment horizontal="left" vertical="center" wrapText="1"/>
      <protection locked="0"/>
    </xf>
    <xf numFmtId="4" fontId="35" fillId="0" borderId="23" xfId="0" applyNumberFormat="1" applyFont="1" applyBorder="1" applyAlignment="1" applyProtection="1">
      <alignment horizontal="left" vertical="center" wrapText="1"/>
      <protection locked="0"/>
    </xf>
    <xf numFmtId="4" fontId="35" fillId="0" borderId="59" xfId="0" applyNumberFormat="1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horizontal="left" vertical="center" wrapText="1"/>
      <protection locked="0"/>
    </xf>
    <xf numFmtId="4" fontId="34" fillId="0" borderId="57" xfId="0" applyNumberFormat="1" applyFont="1" applyBorder="1" applyAlignment="1">
      <alignment vertical="center" wrapText="1"/>
    </xf>
    <xf numFmtId="4" fontId="34" fillId="0" borderId="23" xfId="0" applyNumberFormat="1" applyFont="1" applyBorder="1" applyAlignment="1">
      <alignment vertical="center" wrapText="1"/>
    </xf>
    <xf numFmtId="4" fontId="35" fillId="44" borderId="13" xfId="0" applyNumberFormat="1" applyFont="1" applyFill="1" applyBorder="1" applyAlignment="1">
      <alignment horizontal="center" vertical="center"/>
    </xf>
    <xf numFmtId="4" fontId="35" fillId="44" borderId="60" xfId="0" applyNumberFormat="1" applyFont="1" applyFill="1" applyBorder="1" applyAlignment="1">
      <alignment horizontal="center" vertical="center"/>
    </xf>
    <xf numFmtId="4" fontId="35" fillId="44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Border="1" applyAlignment="1">
      <alignment horizontal="right" vertical="center"/>
    </xf>
    <xf numFmtId="4" fontId="34" fillId="0" borderId="86" xfId="0" applyNumberFormat="1" applyFont="1" applyBorder="1" applyAlignment="1">
      <alignment horizontal="right" vertical="center"/>
    </xf>
    <xf numFmtId="4" fontId="34" fillId="0" borderId="13" xfId="0" applyNumberFormat="1" applyFont="1" applyBorder="1" applyAlignment="1">
      <alignment horizontal="right" vertical="center"/>
    </xf>
    <xf numFmtId="4" fontId="35" fillId="44" borderId="60" xfId="0" applyNumberFormat="1" applyFont="1" applyFill="1" applyBorder="1" applyAlignment="1">
      <alignment horizontal="left" vertical="center" wrapText="1"/>
    </xf>
    <xf numFmtId="4" fontId="35" fillId="44" borderId="41" xfId="0" applyNumberFormat="1" applyFont="1" applyFill="1" applyBorder="1" applyAlignment="1">
      <alignment horizontal="left" vertical="center" wrapText="1"/>
    </xf>
    <xf numFmtId="4" fontId="35" fillId="44" borderId="19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4" fontId="34" fillId="0" borderId="68" xfId="0" applyNumberFormat="1" applyFont="1" applyBorder="1" applyAlignment="1">
      <alignment vertical="center" wrapText="1"/>
    </xf>
    <xf numFmtId="4" fontId="34" fillId="0" borderId="49" xfId="0" applyNumberFormat="1" applyFont="1" applyBorder="1" applyAlignment="1">
      <alignment vertical="center" wrapText="1"/>
    </xf>
    <xf numFmtId="4" fontId="34" fillId="0" borderId="58" xfId="0" applyNumberFormat="1" applyFont="1" applyBorder="1" applyAlignment="1">
      <alignment vertical="center" wrapText="1"/>
    </xf>
    <xf numFmtId="4" fontId="34" fillId="0" borderId="74" xfId="0" applyNumberFormat="1" applyFont="1" applyBorder="1" applyAlignment="1">
      <alignment vertical="center" wrapText="1"/>
    </xf>
    <xf numFmtId="4" fontId="34" fillId="0" borderId="27" xfId="0" applyNumberFormat="1" applyFont="1" applyBorder="1" applyAlignment="1">
      <alignment vertical="center" wrapText="1"/>
    </xf>
    <xf numFmtId="4" fontId="34" fillId="0" borderId="67" xfId="0" applyNumberFormat="1" applyFont="1" applyBorder="1" applyAlignment="1" applyProtection="1">
      <alignment vertical="center" wrapText="1"/>
      <protection locked="0"/>
    </xf>
    <xf numFmtId="4" fontId="34" fillId="0" borderId="0" xfId="0" applyNumberFormat="1" applyFont="1" applyAlignment="1" applyProtection="1">
      <alignment vertical="center" wrapText="1"/>
      <protection locked="0"/>
    </xf>
    <xf numFmtId="4" fontId="34" fillId="0" borderId="21" xfId="0" applyNumberFormat="1" applyFont="1" applyBorder="1" applyAlignment="1" applyProtection="1">
      <alignment vertical="center" wrapText="1"/>
      <protection locked="0"/>
    </xf>
    <xf numFmtId="4" fontId="35" fillId="0" borderId="74" xfId="0" applyNumberFormat="1" applyFont="1" applyBorder="1" applyAlignment="1" applyProtection="1">
      <alignment horizontal="left" vertical="center" wrapText="1"/>
      <protection locked="0"/>
    </xf>
    <xf numFmtId="4" fontId="35" fillId="0" borderId="27" xfId="0" applyNumberFormat="1" applyFont="1" applyBorder="1" applyAlignment="1" applyProtection="1">
      <alignment horizontal="left" vertical="center" wrapText="1"/>
      <protection locked="0"/>
    </xf>
    <xf numFmtId="4" fontId="35" fillId="41" borderId="60" xfId="0" applyNumberFormat="1" applyFont="1" applyFill="1" applyBorder="1" applyAlignment="1" applyProtection="1">
      <alignment horizontal="justify" vertical="center" wrapText="1"/>
      <protection locked="0"/>
    </xf>
    <xf numFmtId="4" fontId="35" fillId="41" borderId="19" xfId="0" applyNumberFormat="1" applyFont="1" applyFill="1" applyBorder="1" applyAlignment="1" applyProtection="1">
      <alignment horizontal="justify" vertical="center" wrapText="1"/>
      <protection locked="0"/>
    </xf>
    <xf numFmtId="4" fontId="35" fillId="44" borderId="19" xfId="0" applyNumberFormat="1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4" fontId="35" fillId="0" borderId="74" xfId="0" applyNumberFormat="1" applyFont="1" applyBorder="1" applyAlignment="1" applyProtection="1">
      <alignment horizontal="justify" vertical="center"/>
      <protection locked="0"/>
    </xf>
    <xf numFmtId="4" fontId="35" fillId="0" borderId="27" xfId="0" applyNumberFormat="1" applyFont="1" applyBorder="1" applyAlignment="1" applyProtection="1">
      <alignment horizontal="justify" vertical="center"/>
      <protection locked="0"/>
    </xf>
    <xf numFmtId="4" fontId="34" fillId="0" borderId="57" xfId="0" applyNumberFormat="1" applyFont="1" applyBorder="1" applyAlignment="1">
      <alignment horizontal="left" vertical="center" wrapText="1"/>
    </xf>
    <xf numFmtId="4" fontId="34" fillId="0" borderId="23" xfId="0" applyNumberFormat="1" applyFont="1" applyBorder="1" applyAlignment="1">
      <alignment horizontal="left" vertical="center" wrapText="1"/>
    </xf>
    <xf numFmtId="4" fontId="34" fillId="0" borderId="59" xfId="0" applyNumberFormat="1" applyFont="1" applyBorder="1" applyAlignment="1" applyProtection="1">
      <alignment horizontal="justify" vertical="center"/>
      <protection locked="0"/>
    </xf>
    <xf numFmtId="4" fontId="34" fillId="0" borderId="25" xfId="0" applyNumberFormat="1" applyFont="1" applyBorder="1" applyAlignment="1" applyProtection="1">
      <alignment horizontal="justify" vertical="center"/>
      <protection locked="0"/>
    </xf>
    <xf numFmtId="4" fontId="35" fillId="41" borderId="60" xfId="0" applyNumberFormat="1" applyFont="1" applyFill="1" applyBorder="1" applyAlignment="1" applyProtection="1">
      <alignment horizontal="justify" vertical="center"/>
      <protection locked="0"/>
    </xf>
    <xf numFmtId="4" fontId="35" fillId="41" borderId="19" xfId="0" applyNumberFormat="1" applyFont="1" applyFill="1" applyBorder="1" applyAlignment="1" applyProtection="1">
      <alignment horizontal="justify" vertical="center"/>
      <protection locked="0"/>
    </xf>
    <xf numFmtId="4" fontId="35" fillId="44" borderId="4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wrapText="1"/>
    </xf>
    <xf numFmtId="4" fontId="38" fillId="0" borderId="0" xfId="0" applyNumberFormat="1" applyFont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/>
    </xf>
    <xf numFmtId="4" fontId="34" fillId="0" borderId="59" xfId="0" applyNumberFormat="1" applyFont="1" applyBorder="1" applyAlignment="1" applyProtection="1">
      <alignment horizontal="left" vertical="center" indent="1"/>
      <protection locked="0"/>
    </xf>
    <xf numFmtId="4" fontId="34" fillId="0" borderId="25" xfId="0" applyNumberFormat="1" applyFont="1" applyBorder="1" applyAlignment="1" applyProtection="1">
      <alignment horizontal="left" vertical="center" indent="1"/>
      <protection locked="0"/>
    </xf>
    <xf numFmtId="4" fontId="34" fillId="0" borderId="60" xfId="0" applyNumberFormat="1" applyFont="1" applyBorder="1" applyAlignment="1" applyProtection="1">
      <alignment horizontal="left" vertical="center" wrapText="1"/>
      <protection locked="0"/>
    </xf>
    <xf numFmtId="4" fontId="34" fillId="0" borderId="19" xfId="0" applyNumberFormat="1" applyFont="1" applyBorder="1" applyAlignment="1" applyProtection="1">
      <alignment horizontal="left" vertical="center" wrapText="1"/>
      <protection locked="0"/>
    </xf>
    <xf numFmtId="4" fontId="34" fillId="0" borderId="58" xfId="0" applyNumberFormat="1" applyFont="1" applyBorder="1" applyAlignment="1" applyProtection="1">
      <alignment horizontal="left" vertical="center" wrapText="1"/>
      <protection locked="0"/>
    </xf>
    <xf numFmtId="4" fontId="34" fillId="0" borderId="53" xfId="0" applyNumberFormat="1" applyFont="1" applyBorder="1" applyAlignment="1" applyProtection="1">
      <alignment horizontal="left" vertical="center" wrapText="1"/>
      <protection locked="0"/>
    </xf>
    <xf numFmtId="4" fontId="34" fillId="0" borderId="31" xfId="0" applyNumberFormat="1" applyFont="1" applyBorder="1" applyAlignment="1" applyProtection="1">
      <alignment horizontal="left" vertical="center" wrapText="1"/>
      <protection locked="0"/>
    </xf>
    <xf numFmtId="4" fontId="34" fillId="0" borderId="59" xfId="0" applyNumberFormat="1" applyFont="1" applyBorder="1" applyAlignment="1" applyProtection="1">
      <alignment horizontal="left" vertical="center" wrapText="1" indent="2"/>
      <protection locked="0"/>
    </xf>
    <xf numFmtId="0" fontId="34" fillId="0" borderId="44" xfId="0" applyFont="1" applyBorder="1" applyAlignment="1">
      <alignment horizontal="left" vertical="center" wrapText="1" indent="2"/>
    </xf>
    <xf numFmtId="0" fontId="34" fillId="0" borderId="25" xfId="0" applyFont="1" applyBorder="1" applyAlignment="1">
      <alignment horizontal="left" vertical="center" wrapText="1" indent="2"/>
    </xf>
    <xf numFmtId="165" fontId="35" fillId="44" borderId="60" xfId="91" applyFont="1" applyFill="1" applyBorder="1" applyAlignment="1" applyProtection="1">
      <alignment horizontal="left" vertical="center" wrapText="1"/>
      <protection locked="0"/>
    </xf>
    <xf numFmtId="165" fontId="35" fillId="44" borderId="41" xfId="91" applyFont="1" applyFill="1" applyBorder="1" applyAlignment="1" applyProtection="1">
      <alignment horizontal="left" vertical="center" wrapText="1"/>
      <protection locked="0"/>
    </xf>
    <xf numFmtId="165" fontId="35" fillId="44" borderId="19" xfId="91" applyFont="1" applyFill="1" applyBorder="1" applyAlignment="1" applyProtection="1">
      <alignment horizontal="left" vertical="center" wrapText="1"/>
      <protection locked="0"/>
    </xf>
    <xf numFmtId="4" fontId="35" fillId="44" borderId="57" xfId="0" applyNumberFormat="1" applyFont="1" applyFill="1" applyBorder="1" applyAlignment="1" applyProtection="1">
      <alignment vertical="center" wrapText="1"/>
      <protection locked="0"/>
    </xf>
    <xf numFmtId="0" fontId="34" fillId="44" borderId="96" xfId="0" applyFont="1" applyFill="1" applyBorder="1" applyAlignment="1">
      <alignment vertical="center"/>
    </xf>
    <xf numFmtId="0" fontId="39" fillId="0" borderId="0" xfId="94" applyFont="1" applyAlignment="1">
      <alignment horizontal="center" vertical="center"/>
    </xf>
    <xf numFmtId="0" fontId="39" fillId="0" borderId="0" xfId="43" applyFont="1" applyAlignment="1">
      <alignment horizontal="left" wrapText="1"/>
    </xf>
    <xf numFmtId="0" fontId="39" fillId="0" borderId="0" xfId="93" applyFont="1" applyAlignment="1">
      <alignment horizontal="left" wrapText="1"/>
    </xf>
    <xf numFmtId="0" fontId="50" fillId="0" borderId="0" xfId="94" applyFont="1" applyAlignment="1">
      <alignment horizontal="center" vertical="center" wrapText="1"/>
    </xf>
    <xf numFmtId="0" fontId="38" fillId="41" borderId="55" xfId="94" applyFont="1" applyFill="1" applyBorder="1" applyAlignment="1">
      <alignment horizontal="center" vertical="center" wrapText="1"/>
    </xf>
    <xf numFmtId="0" fontId="39" fillId="0" borderId="66" xfId="94" applyFont="1" applyBorder="1" applyAlignment="1">
      <alignment vertical="center"/>
    </xf>
    <xf numFmtId="0" fontId="38" fillId="41" borderId="73" xfId="94" applyFont="1" applyFill="1" applyBorder="1" applyAlignment="1">
      <alignment horizontal="center" vertical="center" wrapText="1"/>
    </xf>
    <xf numFmtId="0" fontId="39" fillId="0" borderId="86" xfId="94" applyFont="1" applyBorder="1" applyAlignment="1">
      <alignment vertical="center"/>
    </xf>
    <xf numFmtId="0" fontId="38" fillId="41" borderId="60" xfId="94" applyFont="1" applyFill="1" applyBorder="1" applyAlignment="1">
      <alignment horizontal="center" vertical="center" wrapText="1"/>
    </xf>
    <xf numFmtId="0" fontId="39" fillId="0" borderId="41" xfId="94" applyFont="1" applyBorder="1" applyAlignment="1">
      <alignment horizontal="center" vertical="center" wrapText="1"/>
    </xf>
    <xf numFmtId="0" fontId="39" fillId="0" borderId="19" xfId="94" applyFont="1" applyBorder="1" applyAlignment="1">
      <alignment horizontal="center" vertical="center" wrapText="1"/>
    </xf>
    <xf numFmtId="0" fontId="38" fillId="0" borderId="0" xfId="94" applyFont="1" applyAlignment="1">
      <alignment vertical="center" wrapText="1"/>
    </xf>
    <xf numFmtId="0" fontId="38" fillId="0" borderId="0" xfId="45" applyFont="1" applyAlignment="1">
      <alignment horizontal="left"/>
    </xf>
    <xf numFmtId="0" fontId="38" fillId="0" borderId="0" xfId="94" applyFont="1" applyAlignment="1">
      <alignment horizontal="left" vertical="top" wrapText="1"/>
    </xf>
    <xf numFmtId="0" fontId="38" fillId="0" borderId="0" xfId="94" applyFont="1" applyAlignment="1">
      <alignment horizontal="left" vertical="center" wrapText="1"/>
    </xf>
    <xf numFmtId="0" fontId="39" fillId="0" borderId="0" xfId="93" applyFont="1" applyAlignment="1">
      <alignment vertical="center"/>
    </xf>
    <xf numFmtId="0" fontId="39" fillId="0" borderId="0" xfId="93" applyFont="1" applyAlignment="1">
      <alignment horizontal="center" vertical="center"/>
    </xf>
    <xf numFmtId="0" fontId="50" fillId="0" borderId="0" xfId="93" applyFont="1" applyAlignment="1">
      <alignment horizontal="center" vertical="center" wrapText="1"/>
    </xf>
    <xf numFmtId="0" fontId="50" fillId="0" borderId="0" xfId="93" applyFont="1" applyAlignment="1">
      <alignment horizontal="center" vertical="center"/>
    </xf>
    <xf numFmtId="0" fontId="38" fillId="0" borderId="77" xfId="93" applyFont="1" applyBorder="1" applyAlignment="1">
      <alignment horizontal="left" vertical="center" wrapText="1"/>
    </xf>
    <xf numFmtId="0" fontId="136" fillId="41" borderId="169" xfId="0" applyFont="1" applyFill="1" applyBorder="1" applyAlignment="1">
      <alignment horizontal="center" vertical="center"/>
    </xf>
    <xf numFmtId="0" fontId="136" fillId="41" borderId="71" xfId="0" applyFont="1" applyFill="1" applyBorder="1" applyAlignment="1">
      <alignment horizontal="center" vertical="center"/>
    </xf>
    <xf numFmtId="0" fontId="35" fillId="41" borderId="169" xfId="0" applyFont="1" applyFill="1" applyBorder="1" applyAlignment="1">
      <alignment horizontal="center" vertical="center"/>
    </xf>
    <xf numFmtId="0" fontId="35" fillId="41" borderId="71" xfId="0" applyFont="1" applyFill="1" applyBorder="1" applyAlignment="1">
      <alignment horizontal="center" vertical="center"/>
    </xf>
    <xf numFmtId="0" fontId="35" fillId="41" borderId="173" xfId="0" applyFont="1" applyFill="1" applyBorder="1" applyAlignment="1">
      <alignment horizontal="left" vertical="center"/>
    </xf>
    <xf numFmtId="0" fontId="35" fillId="41" borderId="174" xfId="0" applyFont="1" applyFill="1" applyBorder="1" applyAlignment="1">
      <alignment horizontal="left" vertical="center"/>
    </xf>
    <xf numFmtId="0" fontId="144" fillId="0" borderId="0" xfId="44" applyFont="1" applyAlignment="1">
      <alignment horizontal="center" vertical="center" wrapText="1"/>
    </xf>
    <xf numFmtId="0" fontId="136" fillId="41" borderId="158" xfId="0" applyFont="1" applyFill="1" applyBorder="1" applyAlignment="1">
      <alignment horizontal="center" vertical="center" wrapText="1"/>
    </xf>
    <xf numFmtId="0" fontId="136" fillId="41" borderId="163" xfId="0" applyFont="1" applyFill="1" applyBorder="1" applyAlignment="1">
      <alignment horizontal="center" vertical="center" wrapText="1"/>
    </xf>
    <xf numFmtId="0" fontId="136" fillId="41" borderId="159" xfId="0" applyFont="1" applyFill="1" applyBorder="1" applyAlignment="1">
      <alignment horizontal="center" vertical="center"/>
    </xf>
    <xf numFmtId="0" fontId="136" fillId="41" borderId="18" xfId="0" applyFont="1" applyFill="1" applyBorder="1" applyAlignment="1">
      <alignment horizontal="center" vertical="center"/>
    </xf>
    <xf numFmtId="0" fontId="136" fillId="41" borderId="160" xfId="0" applyFont="1" applyFill="1" applyBorder="1" applyAlignment="1">
      <alignment horizontal="center" vertical="center"/>
    </xf>
    <xf numFmtId="0" fontId="136" fillId="41" borderId="161" xfId="0" applyFont="1" applyFill="1" applyBorder="1" applyAlignment="1">
      <alignment horizontal="center" vertical="center"/>
    </xf>
    <xf numFmtId="0" fontId="136" fillId="41" borderId="162" xfId="0" applyFont="1" applyFill="1" applyBorder="1" applyAlignment="1">
      <alignment horizontal="center" vertical="center" wrapText="1"/>
    </xf>
    <xf numFmtId="0" fontId="136" fillId="41" borderId="86" xfId="0" applyFont="1" applyFill="1" applyBorder="1" applyAlignment="1">
      <alignment horizontal="center" vertical="center"/>
    </xf>
    <xf numFmtId="0" fontId="136" fillId="41" borderId="164" xfId="0" applyFont="1" applyFill="1" applyBorder="1" applyAlignment="1">
      <alignment horizontal="center" vertical="center" wrapText="1"/>
    </xf>
    <xf numFmtId="0" fontId="34" fillId="41" borderId="41" xfId="0" applyFont="1" applyFill="1" applyBorder="1" applyAlignment="1">
      <alignment horizontal="center" vertical="center"/>
    </xf>
    <xf numFmtId="0" fontId="136" fillId="48" borderId="169" xfId="0" applyFont="1" applyFill="1" applyBorder="1" applyAlignment="1">
      <alignment horizontal="center" vertical="center"/>
    </xf>
    <xf numFmtId="0" fontId="136" fillId="48" borderId="71" xfId="0" applyFont="1" applyFill="1" applyBorder="1" applyAlignment="1">
      <alignment horizontal="center" vertical="center"/>
    </xf>
    <xf numFmtId="0" fontId="136" fillId="41" borderId="164" xfId="0" applyFont="1" applyFill="1" applyBorder="1" applyAlignment="1">
      <alignment horizontal="center" vertical="center"/>
    </xf>
    <xf numFmtId="0" fontId="136" fillId="41" borderId="72" xfId="0" applyFont="1" applyFill="1" applyBorder="1" applyAlignment="1">
      <alignment horizontal="center" vertical="center"/>
    </xf>
    <xf numFmtId="0" fontId="39" fillId="0" borderId="47" xfId="47" applyFont="1" applyBorder="1" applyAlignment="1">
      <alignment horizontal="center"/>
    </xf>
    <xf numFmtId="0" fontId="39" fillId="0" borderId="52" xfId="47" applyFont="1" applyBorder="1" applyAlignment="1">
      <alignment horizontal="center"/>
    </xf>
    <xf numFmtId="0" fontId="39" fillId="0" borderId="0" xfId="0" applyFont="1" applyAlignment="1">
      <alignment horizontal="left" wrapText="1"/>
    </xf>
    <xf numFmtId="0" fontId="38" fillId="0" borderId="0" xfId="42" applyFont="1" applyAlignment="1">
      <alignment horizontal="left" vertical="center" wrapText="1"/>
    </xf>
    <xf numFmtId="0" fontId="38" fillId="0" borderId="0" xfId="42" applyFont="1" applyAlignment="1">
      <alignment vertical="center" wrapText="1"/>
    </xf>
    <xf numFmtId="0" fontId="50" fillId="0" borderId="0" xfId="47" applyFont="1" applyAlignment="1">
      <alignment horizontal="center" vertical="center" wrapText="1"/>
    </xf>
    <xf numFmtId="0" fontId="50" fillId="0" borderId="0" xfId="47" applyFont="1" applyAlignment="1">
      <alignment horizontal="center" vertical="center"/>
    </xf>
    <xf numFmtId="0" fontId="38" fillId="0" borderId="0" xfId="47" applyFont="1" applyAlignment="1">
      <alignment horizontal="left" vertical="center"/>
    </xf>
    <xf numFmtId="0" fontId="39" fillId="41" borderId="55" xfId="47" applyFont="1" applyFill="1" applyBorder="1" applyAlignment="1">
      <alignment horizontal="center" vertical="center" wrapText="1"/>
    </xf>
    <xf numFmtId="0" fontId="39" fillId="41" borderId="66" xfId="47" applyFont="1" applyFill="1" applyBorder="1" applyAlignment="1">
      <alignment horizontal="center" vertical="center" wrapText="1"/>
    </xf>
    <xf numFmtId="0" fontId="39" fillId="41" borderId="73" xfId="47" applyFont="1" applyFill="1" applyBorder="1" applyAlignment="1">
      <alignment horizontal="center" vertical="center"/>
    </xf>
    <xf numFmtId="0" fontId="39" fillId="41" borderId="56" xfId="47" applyFont="1" applyFill="1" applyBorder="1" applyAlignment="1">
      <alignment horizontal="center" vertical="center"/>
    </xf>
    <xf numFmtId="0" fontId="39" fillId="41" borderId="86" xfId="47" applyFont="1" applyFill="1" applyBorder="1" applyAlignment="1">
      <alignment horizontal="center" vertical="center"/>
    </xf>
    <xf numFmtId="0" fontId="39" fillId="41" borderId="14" xfId="47" applyFont="1" applyFill="1" applyBorder="1" applyAlignment="1">
      <alignment horizontal="center" vertical="center"/>
    </xf>
    <xf numFmtId="0" fontId="39" fillId="41" borderId="66" xfId="47" applyFont="1" applyFill="1" applyBorder="1" applyAlignment="1">
      <alignment horizontal="center" vertical="center"/>
    </xf>
    <xf numFmtId="0" fontId="39" fillId="0" borderId="20" xfId="47" applyFont="1" applyBorder="1" applyAlignment="1">
      <alignment horizontal="center"/>
    </xf>
    <xf numFmtId="0" fontId="39" fillId="0" borderId="55" xfId="47" applyFont="1" applyBorder="1" applyAlignment="1">
      <alignment horizontal="center" vertical="center"/>
    </xf>
    <xf numFmtId="0" fontId="39" fillId="0" borderId="52" xfId="47" applyFont="1" applyBorder="1" applyAlignment="1">
      <alignment horizontal="center" vertical="center"/>
    </xf>
    <xf numFmtId="0" fontId="39" fillId="0" borderId="0" xfId="47" applyFont="1" applyAlignment="1">
      <alignment horizontal="center" vertical="center"/>
    </xf>
    <xf numFmtId="0" fontId="39" fillId="0" borderId="55" xfId="47" applyFont="1" applyBorder="1" applyAlignment="1">
      <alignment horizontal="center"/>
    </xf>
    <xf numFmtId="0" fontId="39" fillId="0" borderId="24" xfId="47" applyFont="1" applyBorder="1" applyAlignment="1">
      <alignment horizontal="center"/>
    </xf>
    <xf numFmtId="0" fontId="39" fillId="0" borderId="47" xfId="47" applyFont="1" applyBorder="1" applyAlignment="1">
      <alignment horizontal="center" vertical="center"/>
    </xf>
    <xf numFmtId="0" fontId="39" fillId="0" borderId="24" xfId="47" applyFont="1" applyBorder="1" applyAlignment="1">
      <alignment horizontal="center" vertical="center"/>
    </xf>
    <xf numFmtId="0" fontId="39" fillId="0" borderId="20" xfId="47" applyFont="1" applyBorder="1" applyAlignment="1">
      <alignment horizontal="center" vertical="center"/>
    </xf>
    <xf numFmtId="0" fontId="39" fillId="0" borderId="66" xfId="47" applyFont="1" applyBorder="1" applyAlignment="1">
      <alignment horizontal="center" vertical="center"/>
    </xf>
    <xf numFmtId="0" fontId="39" fillId="0" borderId="66" xfId="47" applyFont="1" applyBorder="1" applyAlignment="1">
      <alignment horizontal="center"/>
    </xf>
    <xf numFmtId="4" fontId="39" fillId="41" borderId="55" xfId="47" applyNumberFormat="1" applyFont="1" applyFill="1" applyBorder="1" applyAlignment="1">
      <alignment horizontal="center" vertical="center"/>
    </xf>
    <xf numFmtId="4" fontId="39" fillId="41" borderId="52" xfId="47" applyNumberFormat="1" applyFont="1" applyFill="1" applyBorder="1" applyAlignment="1">
      <alignment horizontal="center" vertical="center"/>
    </xf>
    <xf numFmtId="4" fontId="39" fillId="41" borderId="47" xfId="47" applyNumberFormat="1" applyFont="1" applyFill="1" applyBorder="1" applyAlignment="1">
      <alignment horizontal="center" vertical="center"/>
    </xf>
    <xf numFmtId="4" fontId="39" fillId="41" borderId="66" xfId="47" applyNumberFormat="1" applyFont="1" applyFill="1" applyBorder="1" applyAlignment="1">
      <alignment horizontal="center" vertical="center"/>
    </xf>
    <xf numFmtId="0" fontId="39" fillId="0" borderId="31" xfId="47" applyFont="1" applyBorder="1" applyAlignment="1">
      <alignment horizontal="center" vertical="center"/>
    </xf>
    <xf numFmtId="0" fontId="39" fillId="0" borderId="25" xfId="47" applyFont="1" applyBorder="1" applyAlignment="1">
      <alignment horizontal="center" vertical="center"/>
    </xf>
    <xf numFmtId="0" fontId="39" fillId="0" borderId="67" xfId="47" applyFont="1" applyBorder="1" applyAlignment="1">
      <alignment horizontal="center" vertical="center"/>
    </xf>
    <xf numFmtId="0" fontId="39" fillId="0" borderId="58" xfId="47" applyFont="1" applyBorder="1" applyAlignment="1">
      <alignment horizontal="center" vertical="center"/>
    </xf>
    <xf numFmtId="0" fontId="39" fillId="0" borderId="73" xfId="47" applyFont="1" applyBorder="1" applyAlignment="1">
      <alignment horizontal="center" vertical="center"/>
    </xf>
    <xf numFmtId="0" fontId="39" fillId="0" borderId="49" xfId="47" applyFont="1" applyBorder="1" applyAlignment="1">
      <alignment horizontal="center" vertical="center"/>
    </xf>
    <xf numFmtId="4" fontId="39" fillId="41" borderId="20" xfId="47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147" fillId="0" borderId="60" xfId="0" applyFont="1" applyBorder="1" applyAlignment="1">
      <alignment horizontal="center" vertical="center" wrapText="1"/>
    </xf>
    <xf numFmtId="0" fontId="147" fillId="0" borderId="41" xfId="0" applyFont="1" applyBorder="1" applyAlignment="1">
      <alignment horizontal="center" vertical="center" wrapText="1"/>
    </xf>
    <xf numFmtId="0" fontId="147" fillId="0" borderId="19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0" fillId="0" borderId="0" xfId="0" applyFont="1" applyAlignment="1">
      <alignment vertical="center"/>
    </xf>
    <xf numFmtId="0" fontId="38" fillId="0" borderId="60" xfId="0" applyFont="1" applyBorder="1" applyAlignment="1">
      <alignment horizontal="right" vertical="center" wrapText="1"/>
    </xf>
    <xf numFmtId="0" fontId="38" fillId="0" borderId="41" xfId="0" applyFont="1" applyBorder="1" applyAlignment="1">
      <alignment horizontal="right" vertical="center" wrapText="1"/>
    </xf>
    <xf numFmtId="0" fontId="38" fillId="0" borderId="19" xfId="0" applyFont="1" applyBorder="1" applyAlignment="1">
      <alignment horizontal="right" vertical="center" wrapText="1"/>
    </xf>
    <xf numFmtId="4" fontId="38" fillId="0" borderId="60" xfId="0" applyNumberFormat="1" applyFont="1" applyBorder="1" applyAlignment="1">
      <alignment horizontal="center" vertical="center"/>
    </xf>
    <xf numFmtId="4" fontId="38" fillId="0" borderId="19" xfId="0" applyNumberFormat="1" applyFont="1" applyBorder="1" applyAlignment="1">
      <alignment horizontal="center" vertical="center"/>
    </xf>
    <xf numFmtId="0" fontId="38" fillId="41" borderId="60" xfId="0" applyFont="1" applyFill="1" applyBorder="1" applyAlignment="1">
      <alignment horizontal="center" vertical="center" wrapText="1"/>
    </xf>
    <xf numFmtId="0" fontId="38" fillId="41" borderId="19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right" vertical="center" wrapText="1"/>
    </xf>
    <xf numFmtId="0" fontId="39" fillId="43" borderId="91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38" fillId="0" borderId="0" xfId="0" applyFont="1" applyAlignment="1">
      <alignment horizontal="center" vertical="center" wrapText="1"/>
    </xf>
    <xf numFmtId="0" fontId="38" fillId="41" borderId="84" xfId="46" applyFont="1" applyFill="1" applyBorder="1" applyAlignment="1">
      <alignment horizontal="left" vertical="center"/>
    </xf>
    <xf numFmtId="49" fontId="39" fillId="0" borderId="11" xfId="46" applyNumberFormat="1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 wrapText="1"/>
    </xf>
    <xf numFmtId="0" fontId="38" fillId="0" borderId="11" xfId="0" applyFont="1" applyBorder="1" applyAlignment="1">
      <alignment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34" xfId="0" applyFont="1" applyBorder="1" applyAlignment="1">
      <alignment vertical="center" wrapText="1"/>
    </xf>
    <xf numFmtId="49" fontId="38" fillId="41" borderId="84" xfId="46" applyNumberFormat="1" applyFont="1" applyFill="1" applyBorder="1" applyAlignment="1">
      <alignment horizontal="left" vertical="center" wrapText="1"/>
    </xf>
    <xf numFmtId="0" fontId="57" fillId="0" borderId="61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horizontal="left" vertical="center"/>
    </xf>
    <xf numFmtId="0" fontId="38" fillId="41" borderId="73" xfId="0" applyFont="1" applyFill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49" fontId="39" fillId="0" borderId="34" xfId="46" applyNumberFormat="1" applyFont="1" applyBorder="1" applyAlignment="1">
      <alignment horizontal="left" vertical="center"/>
    </xf>
    <xf numFmtId="49" fontId="38" fillId="41" borderId="84" xfId="46" applyNumberFormat="1" applyFont="1" applyFill="1" applyBorder="1" applyAlignment="1">
      <alignment horizontal="left" vertical="center"/>
    </xf>
    <xf numFmtId="49" fontId="39" fillId="0" borderId="61" xfId="46" applyNumberFormat="1" applyFont="1" applyBorder="1" applyAlignment="1">
      <alignment horizontal="left" vertical="center"/>
    </xf>
    <xf numFmtId="0" fontId="39" fillId="0" borderId="61" xfId="46" applyFont="1" applyBorder="1" applyAlignment="1">
      <alignment horizontal="left" vertical="center"/>
    </xf>
    <xf numFmtId="0" fontId="39" fillId="0" borderId="34" xfId="46" applyFont="1" applyBorder="1" applyAlignment="1">
      <alignment horizontal="left" vertical="center"/>
    </xf>
    <xf numFmtId="0" fontId="39" fillId="0" borderId="71" xfId="46" applyFont="1" applyBorder="1" applyAlignment="1">
      <alignment horizontal="left" vertical="center"/>
    </xf>
    <xf numFmtId="0" fontId="39" fillId="0" borderId="11" xfId="46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72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wrapText="1"/>
    </xf>
    <xf numFmtId="0" fontId="62" fillId="44" borderId="39" xfId="0" applyFont="1" applyFill="1" applyBorder="1" applyAlignment="1">
      <alignment horizontal="center" vertical="center"/>
    </xf>
    <xf numFmtId="0" fontId="62" fillId="44" borderId="33" xfId="0" applyFont="1" applyFill="1" applyBorder="1" applyAlignment="1">
      <alignment horizontal="center" vertical="center"/>
    </xf>
    <xf numFmtId="0" fontId="62" fillId="44" borderId="61" xfId="0" applyFont="1" applyFill="1" applyBorder="1" applyAlignment="1">
      <alignment horizontal="center" vertical="center"/>
    </xf>
    <xf numFmtId="0" fontId="62" fillId="44" borderId="34" xfId="0" applyFont="1" applyFill="1" applyBorder="1" applyAlignment="1">
      <alignment horizontal="center" vertical="center"/>
    </xf>
    <xf numFmtId="0" fontId="66" fillId="44" borderId="61" xfId="0" applyFont="1" applyFill="1" applyBorder="1" applyAlignment="1">
      <alignment horizontal="center" vertical="center" wrapText="1"/>
    </xf>
    <xf numFmtId="0" fontId="66" fillId="44" borderId="34" xfId="0" applyFont="1" applyFill="1" applyBorder="1" applyAlignment="1">
      <alignment horizontal="center" vertical="center" wrapText="1"/>
    </xf>
    <xf numFmtId="0" fontId="66" fillId="44" borderId="65" xfId="0" applyFont="1" applyFill="1" applyBorder="1" applyAlignment="1">
      <alignment horizontal="center" vertical="center" wrapText="1"/>
    </xf>
    <xf numFmtId="0" fontId="66" fillId="44" borderId="40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left"/>
    </xf>
    <xf numFmtId="0" fontId="68" fillId="0" borderId="0" xfId="43" applyFont="1" applyAlignment="1">
      <alignment horizontal="left" wrapText="1"/>
    </xf>
    <xf numFmtId="0" fontId="68" fillId="0" borderId="0" xfId="0" applyFont="1" applyAlignment="1">
      <alignment horizontal="left" wrapText="1"/>
    </xf>
    <xf numFmtId="0" fontId="73" fillId="0" borderId="0" xfId="0" applyFont="1" applyAlignment="1">
      <alignment horizontal="center" vertical="center" wrapText="1"/>
    </xf>
    <xf numFmtId="4" fontId="0" fillId="0" borderId="20" xfId="0" applyNumberFormat="1" applyBorder="1"/>
    <xf numFmtId="4" fontId="26" fillId="0" borderId="24" xfId="40" applyNumberFormat="1" applyFont="1" applyFill="1" applyBorder="1" applyAlignment="1" applyProtection="1">
      <alignment horizontal="right" wrapText="1"/>
      <protection locked="0"/>
    </xf>
  </cellXfs>
  <cellStyles count="165">
    <cellStyle name="20% — akcent 1" xfId="113" builtinId="30" customBuiltin="1"/>
    <cellStyle name="20% — akcent 1 2" xfId="140"/>
    <cellStyle name="20% — akcent 2" xfId="117" builtinId="34" customBuiltin="1"/>
    <cellStyle name="20% — akcent 2 2" xfId="142"/>
    <cellStyle name="20% — akcent 3" xfId="121" builtinId="38" customBuiltin="1"/>
    <cellStyle name="20% — akcent 3 2" xfId="144"/>
    <cellStyle name="20% — akcent 4" xfId="125" builtinId="42" customBuiltin="1"/>
    <cellStyle name="20% — akcent 4 2" xfId="146"/>
    <cellStyle name="20% — akcent 5" xfId="129" builtinId="46" customBuiltin="1"/>
    <cellStyle name="20% — akcent 5 2" xfId="148"/>
    <cellStyle name="20% — akcent 6" xfId="133" builtinId="50" customBuiltin="1"/>
    <cellStyle name="20% — akcent 6 2" xfId="150"/>
    <cellStyle name="40% — akcent 1" xfId="114" builtinId="31" customBuiltin="1"/>
    <cellStyle name="40% — akcent 1 2" xfId="141"/>
    <cellStyle name="40% — akcent 2" xfId="118" builtinId="35" customBuiltin="1"/>
    <cellStyle name="40% — akcent 2 2" xfId="143"/>
    <cellStyle name="40% — akcent 3" xfId="122" builtinId="39" customBuiltin="1"/>
    <cellStyle name="40% — akcent 3 2" xfId="145"/>
    <cellStyle name="40% — akcent 4" xfId="126" builtinId="43" customBuiltin="1"/>
    <cellStyle name="40% — akcent 4 2" xfId="147"/>
    <cellStyle name="40% — akcent 5" xfId="130" builtinId="47" customBuiltin="1"/>
    <cellStyle name="40% — akcent 5 2" xfId="149"/>
    <cellStyle name="40% — akcent 6" xfId="134" builtinId="51" customBuiltin="1"/>
    <cellStyle name="40% — akcent 6 2" xfId="151"/>
    <cellStyle name="60% — akcent 1" xfId="115" builtinId="32" customBuiltin="1"/>
    <cellStyle name="60% — akcent 2" xfId="119" builtinId="36" customBuiltin="1"/>
    <cellStyle name="60% — akcent 3" xfId="123" builtinId="40" customBuiltin="1"/>
    <cellStyle name="60% — akcent 4" xfId="127" builtinId="44" customBuiltin="1"/>
    <cellStyle name="60% — akcent 5" xfId="131" builtinId="48" customBuiltin="1"/>
    <cellStyle name="60% — akcent 6" xfId="135" builtinId="52" customBuiltin="1"/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Akcent 1" xfId="112" builtinId="29" customBuiltin="1"/>
    <cellStyle name="Akcent 2" xfId="116" builtinId="33" customBuiltin="1"/>
    <cellStyle name="Akcent 3" xfId="120" builtinId="37" customBuiltin="1"/>
    <cellStyle name="Akcent 4" xfId="124" builtinId="41" customBuiltin="1"/>
    <cellStyle name="Akcent 5" xfId="128" builtinId="45" customBuiltin="1"/>
    <cellStyle name="Akcent 6" xfId="132" builtinId="49" customBuiltin="1"/>
    <cellStyle name="Bad" xfId="25"/>
    <cellStyle name="Calculation" xfId="26"/>
    <cellStyle name="Check Cell" xfId="27"/>
    <cellStyle name="Dane wejściowe" xfId="104" builtinId="20" customBuiltin="1"/>
    <cellStyle name="Dane wyjściowe" xfId="105" builtinId="21" customBuiltin="1"/>
    <cellStyle name="Dobry" xfId="101" builtinId="26" customBuiltin="1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Komórka połączona" xfId="107" builtinId="24" customBuiltin="1"/>
    <cellStyle name="Komórka zaznaczona" xfId="108" builtinId="23" customBuiltin="1"/>
    <cellStyle name="Linked Cell" xfId="37"/>
    <cellStyle name="Nagłówek 1" xfId="97" builtinId="16" customBuiltin="1"/>
    <cellStyle name="Nagłówek 2" xfId="98" builtinId="17" customBuiltin="1"/>
    <cellStyle name="Nagłówek 3" xfId="99" builtinId="18" customBuiltin="1"/>
    <cellStyle name="Nagłówek 4" xfId="100" builtinId="19" customBuiltin="1"/>
    <cellStyle name="Neutral" xfId="38"/>
    <cellStyle name="Neutralny" xfId="103" builtinId="28" customBuiltin="1"/>
    <cellStyle name="Normal 3" xfId="39"/>
    <cellStyle name="Normalny" xfId="0" builtinId="0"/>
    <cellStyle name="Normalny 2" xfId="40"/>
    <cellStyle name="Normalny 3" xfId="41"/>
    <cellStyle name="Normalny 3 2" xfId="152"/>
    <cellStyle name="Normalny 4" xfId="93"/>
    <cellStyle name="Normalny 5" xfId="95"/>
    <cellStyle name="Normalny 6" xfId="136"/>
    <cellStyle name="Normalny 7" xfId="138"/>
    <cellStyle name="Normalny 8" xfId="164"/>
    <cellStyle name="Normalny_3808_2501zal_150" xfId="42"/>
    <cellStyle name="Normalny_3808_2501zal_150 2" xfId="94"/>
    <cellStyle name="Normalny_dzielnice termin spr." xfId="43"/>
    <cellStyle name="Normalny_FUNDUSZ ZASADNICZY-ZAŁĄCZNIK DO BILANSU11" xfId="44"/>
    <cellStyle name="Normalny_wynik finansowy zał.do bilansu" xfId="45"/>
    <cellStyle name="Normalny_Zakłady budżetowe - jednostki" xfId="46"/>
    <cellStyle name="Normalny_zał.do bil. i spraw. zob.-nale." xfId="47"/>
    <cellStyle name="Note" xfId="48"/>
    <cellStyle name="Note 2" xfId="153"/>
    <cellStyle name="Obliczenia" xfId="106" builtinId="22" customBuiltin="1"/>
    <cellStyle name="Output" xfId="49"/>
    <cellStyle name="SAPBEXaggData" xfId="50"/>
    <cellStyle name="SAPBEXaggDataEmph" xfId="51"/>
    <cellStyle name="SAPBEXaggItem" xfId="52"/>
    <cellStyle name="SAPBEXaggItemX" xfId="53"/>
    <cellStyle name="SAPBEXchaText" xfId="54"/>
    <cellStyle name="SAPBEXexcBad7" xfId="55"/>
    <cellStyle name="SAPBEXexcBad8" xfId="56"/>
    <cellStyle name="SAPBEXexcBad9" xfId="57"/>
    <cellStyle name="SAPBEXexcCritical4" xfId="58"/>
    <cellStyle name="SAPBEXexcCritical5" xfId="59"/>
    <cellStyle name="SAPBEXexcCritical6" xfId="60"/>
    <cellStyle name="SAPBEXexcGood1" xfId="61"/>
    <cellStyle name="SAPBEXexcGood2" xfId="62"/>
    <cellStyle name="SAPBEXexcGood3" xfId="63"/>
    <cellStyle name="SAPBEXfilterDrill" xfId="64"/>
    <cellStyle name="SAPBEXfilterItem" xfId="65"/>
    <cellStyle name="SAPBEXfilterText" xfId="66"/>
    <cellStyle name="SAPBEXformats" xfId="67"/>
    <cellStyle name="SAPBEXheaderItem" xfId="68"/>
    <cellStyle name="SAPBEXheaderText" xfId="69"/>
    <cellStyle name="SAPBEXHLevel0" xfId="70"/>
    <cellStyle name="SAPBEXHLevel0 2" xfId="154"/>
    <cellStyle name="SAPBEXHLevel0X" xfId="71"/>
    <cellStyle name="SAPBEXHLevel0X 2" xfId="155"/>
    <cellStyle name="SAPBEXHLevel1" xfId="72"/>
    <cellStyle name="SAPBEXHLevel1 2" xfId="156"/>
    <cellStyle name="SAPBEXHLevel1X" xfId="73"/>
    <cellStyle name="SAPBEXHLevel1X 2" xfId="157"/>
    <cellStyle name="SAPBEXHLevel2" xfId="74"/>
    <cellStyle name="SAPBEXHLevel2 2" xfId="158"/>
    <cellStyle name="SAPBEXHLevel2X" xfId="75"/>
    <cellStyle name="SAPBEXHLevel2X 2" xfId="159"/>
    <cellStyle name="SAPBEXHLevel3" xfId="76"/>
    <cellStyle name="SAPBEXHLevel3 2" xfId="160"/>
    <cellStyle name="SAPBEXHLevel3X" xfId="77"/>
    <cellStyle name="SAPBEXHLevel3X 2" xfId="161"/>
    <cellStyle name="SAPBEXinputData" xfId="78"/>
    <cellStyle name="SAPBEXinputData 2" xfId="162"/>
    <cellStyle name="SAPBEXresData" xfId="79"/>
    <cellStyle name="SAPBEXresDataEmph" xfId="80"/>
    <cellStyle name="SAPBEXresItem" xfId="81"/>
    <cellStyle name="SAPBEXresItemX" xfId="82"/>
    <cellStyle name="SAPBEXstdData" xfId="83"/>
    <cellStyle name="SAPBEXstdDataEmph" xfId="84"/>
    <cellStyle name="SAPBEXstdItem" xfId="85"/>
    <cellStyle name="SAPBEXstdItemX" xfId="86"/>
    <cellStyle name="SAPBEXtitle" xfId="87"/>
    <cellStyle name="SAPBEXundefined" xfId="88"/>
    <cellStyle name="Sheet Title" xfId="89"/>
    <cellStyle name="Suma" xfId="111" builtinId="25" customBuiltin="1"/>
    <cellStyle name="Tekst objaśnienia" xfId="110" builtinId="53" customBuiltin="1"/>
    <cellStyle name="Tekst ostrzeżenia" xfId="109" builtinId="11" customBuiltin="1"/>
    <cellStyle name="Total" xfId="90"/>
    <cellStyle name="Tytuł" xfId="96" builtinId="15" customBuiltin="1"/>
    <cellStyle name="Uwaga 2" xfId="137"/>
    <cellStyle name="Uwaga 3" xfId="139"/>
    <cellStyle name="Walutowy" xfId="91" builtinId="4"/>
    <cellStyle name="Walutowy 2" xfId="163"/>
    <cellStyle name="Warning Text" xfId="92"/>
    <cellStyle name="Zły" xfId="102" builtinId="27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RZ&#260;D\Bilans%20dochod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Fundusz"/>
      <sheetName val="Odpisy aktualiz doch+wydat"/>
      <sheetName val="Załącznik 21"/>
      <sheetName val="Załącznik 9"/>
      <sheetName val="Załącznik 10"/>
      <sheetName val="Załącznik 11"/>
      <sheetName val="BExRepositorySheet"/>
      <sheetName val="Załącznik 12N"/>
      <sheetName val="Załącznik 12Z"/>
      <sheetName val="Załącznik 13"/>
      <sheetName val="Załącznik 13A"/>
      <sheetName val="Załącznik 13B"/>
      <sheetName val="Załącznik 14"/>
      <sheetName val="Załącznik 14A"/>
      <sheetName val="Załącznik 15"/>
      <sheetName val="Załącznik 16"/>
      <sheetName val="Załącznik 16A"/>
      <sheetName val="Załącznik 17"/>
      <sheetName val="Załącznik 18"/>
      <sheetName val="Załącznik 19"/>
      <sheetName val="Załącznik 22"/>
      <sheetName val="Załącznik 23 "/>
    </sheetNames>
    <sheetDataSet>
      <sheetData sheetId="0" refreshError="1"/>
      <sheetData sheetId="1" refreshError="1"/>
      <sheetData sheetId="2" refreshError="1"/>
      <sheetData sheetId="3">
        <row r="13">
          <cell r="F13">
            <v>9693748.9900000002</v>
          </cell>
          <cell r="G13">
            <v>305735.44</v>
          </cell>
          <cell r="H13">
            <v>10189088.359999999</v>
          </cell>
        </row>
        <row r="15">
          <cell r="F15">
            <v>21678373.870000001</v>
          </cell>
          <cell r="H15">
            <v>21247807.66</v>
          </cell>
        </row>
        <row r="16">
          <cell r="F16">
            <v>92605.2</v>
          </cell>
          <cell r="G16">
            <v>8462453.5</v>
          </cell>
          <cell r="H16">
            <v>145945.97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43"/>
  <sheetViews>
    <sheetView zoomScale="90" zoomScaleNormal="90" workbookViewId="0">
      <selection activeCell="O13" sqref="O13"/>
    </sheetView>
  </sheetViews>
  <sheetFormatPr defaultRowHeight="12.75" x14ac:dyDescent="0.2"/>
  <cols>
    <col min="1" max="1" width="35.7109375" style="429" customWidth="1"/>
    <col min="2" max="2" width="16.28515625" style="496" customWidth="1"/>
    <col min="3" max="3" width="16.28515625" style="430" customWidth="1"/>
    <col min="4" max="4" width="35.7109375" style="430" customWidth="1"/>
    <col min="5" max="5" width="16.28515625" style="496" customWidth="1"/>
    <col min="6" max="6" width="16.28515625" style="430" customWidth="1"/>
    <col min="7" max="7" width="15.42578125" style="476" bestFit="1" customWidth="1"/>
    <col min="8" max="8" width="14.42578125" style="429" bestFit="1" customWidth="1"/>
    <col min="9" max="9" width="16.42578125" style="429" bestFit="1" customWidth="1"/>
    <col min="10" max="10" width="14.85546875" style="429" bestFit="1" customWidth="1"/>
    <col min="11" max="11" width="13.28515625" style="429" bestFit="1" customWidth="1"/>
    <col min="12" max="256" width="9.140625" style="429"/>
    <col min="257" max="257" width="35.7109375" style="429" customWidth="1"/>
    <col min="258" max="259" width="16.28515625" style="429" customWidth="1"/>
    <col min="260" max="260" width="35.7109375" style="429" customWidth="1"/>
    <col min="261" max="262" width="16.28515625" style="429" customWidth="1"/>
    <col min="263" max="263" width="15.42578125" style="429" bestFit="1" customWidth="1"/>
    <col min="264" max="264" width="14.42578125" style="429" bestFit="1" customWidth="1"/>
    <col min="265" max="512" width="9.140625" style="429"/>
    <col min="513" max="513" width="35.7109375" style="429" customWidth="1"/>
    <col min="514" max="515" width="16.28515625" style="429" customWidth="1"/>
    <col min="516" max="516" width="35.7109375" style="429" customWidth="1"/>
    <col min="517" max="518" width="16.28515625" style="429" customWidth="1"/>
    <col min="519" max="519" width="15.42578125" style="429" bestFit="1" customWidth="1"/>
    <col min="520" max="520" width="14.42578125" style="429" bestFit="1" customWidth="1"/>
    <col min="521" max="768" width="9.140625" style="429"/>
    <col min="769" max="769" width="35.7109375" style="429" customWidth="1"/>
    <col min="770" max="771" width="16.28515625" style="429" customWidth="1"/>
    <col min="772" max="772" width="35.7109375" style="429" customWidth="1"/>
    <col min="773" max="774" width="16.28515625" style="429" customWidth="1"/>
    <col min="775" max="775" width="15.42578125" style="429" bestFit="1" customWidth="1"/>
    <col min="776" max="776" width="14.42578125" style="429" bestFit="1" customWidth="1"/>
    <col min="777" max="1024" width="9.140625" style="429"/>
    <col min="1025" max="1025" width="35.7109375" style="429" customWidth="1"/>
    <col min="1026" max="1027" width="16.28515625" style="429" customWidth="1"/>
    <col min="1028" max="1028" width="35.7109375" style="429" customWidth="1"/>
    <col min="1029" max="1030" width="16.28515625" style="429" customWidth="1"/>
    <col min="1031" max="1031" width="15.42578125" style="429" bestFit="1" customWidth="1"/>
    <col min="1032" max="1032" width="14.42578125" style="429" bestFit="1" customWidth="1"/>
    <col min="1033" max="1280" width="9.140625" style="429"/>
    <col min="1281" max="1281" width="35.7109375" style="429" customWidth="1"/>
    <col min="1282" max="1283" width="16.28515625" style="429" customWidth="1"/>
    <col min="1284" max="1284" width="35.7109375" style="429" customWidth="1"/>
    <col min="1285" max="1286" width="16.28515625" style="429" customWidth="1"/>
    <col min="1287" max="1287" width="15.42578125" style="429" bestFit="1" customWidth="1"/>
    <col min="1288" max="1288" width="14.42578125" style="429" bestFit="1" customWidth="1"/>
    <col min="1289" max="1536" width="9.140625" style="429"/>
    <col min="1537" max="1537" width="35.7109375" style="429" customWidth="1"/>
    <col min="1538" max="1539" width="16.28515625" style="429" customWidth="1"/>
    <col min="1540" max="1540" width="35.7109375" style="429" customWidth="1"/>
    <col min="1541" max="1542" width="16.28515625" style="429" customWidth="1"/>
    <col min="1543" max="1543" width="15.42578125" style="429" bestFit="1" customWidth="1"/>
    <col min="1544" max="1544" width="14.42578125" style="429" bestFit="1" customWidth="1"/>
    <col min="1545" max="1792" width="9.140625" style="429"/>
    <col min="1793" max="1793" width="35.7109375" style="429" customWidth="1"/>
    <col min="1794" max="1795" width="16.28515625" style="429" customWidth="1"/>
    <col min="1796" max="1796" width="35.7109375" style="429" customWidth="1"/>
    <col min="1797" max="1798" width="16.28515625" style="429" customWidth="1"/>
    <col min="1799" max="1799" width="15.42578125" style="429" bestFit="1" customWidth="1"/>
    <col min="1800" max="1800" width="14.42578125" style="429" bestFit="1" customWidth="1"/>
    <col min="1801" max="2048" width="9.140625" style="429"/>
    <col min="2049" max="2049" width="35.7109375" style="429" customWidth="1"/>
    <col min="2050" max="2051" width="16.28515625" style="429" customWidth="1"/>
    <col min="2052" max="2052" width="35.7109375" style="429" customWidth="1"/>
    <col min="2053" max="2054" width="16.28515625" style="429" customWidth="1"/>
    <col min="2055" max="2055" width="15.42578125" style="429" bestFit="1" customWidth="1"/>
    <col min="2056" max="2056" width="14.42578125" style="429" bestFit="1" customWidth="1"/>
    <col min="2057" max="2304" width="9.140625" style="429"/>
    <col min="2305" max="2305" width="35.7109375" style="429" customWidth="1"/>
    <col min="2306" max="2307" width="16.28515625" style="429" customWidth="1"/>
    <col min="2308" max="2308" width="35.7109375" style="429" customWidth="1"/>
    <col min="2309" max="2310" width="16.28515625" style="429" customWidth="1"/>
    <col min="2311" max="2311" width="15.42578125" style="429" bestFit="1" customWidth="1"/>
    <col min="2312" max="2312" width="14.42578125" style="429" bestFit="1" customWidth="1"/>
    <col min="2313" max="2560" width="9.140625" style="429"/>
    <col min="2561" max="2561" width="35.7109375" style="429" customWidth="1"/>
    <col min="2562" max="2563" width="16.28515625" style="429" customWidth="1"/>
    <col min="2564" max="2564" width="35.7109375" style="429" customWidth="1"/>
    <col min="2565" max="2566" width="16.28515625" style="429" customWidth="1"/>
    <col min="2567" max="2567" width="15.42578125" style="429" bestFit="1" customWidth="1"/>
    <col min="2568" max="2568" width="14.42578125" style="429" bestFit="1" customWidth="1"/>
    <col min="2569" max="2816" width="9.140625" style="429"/>
    <col min="2817" max="2817" width="35.7109375" style="429" customWidth="1"/>
    <col min="2818" max="2819" width="16.28515625" style="429" customWidth="1"/>
    <col min="2820" max="2820" width="35.7109375" style="429" customWidth="1"/>
    <col min="2821" max="2822" width="16.28515625" style="429" customWidth="1"/>
    <col min="2823" max="2823" width="15.42578125" style="429" bestFit="1" customWidth="1"/>
    <col min="2824" max="2824" width="14.42578125" style="429" bestFit="1" customWidth="1"/>
    <col min="2825" max="3072" width="9.140625" style="429"/>
    <col min="3073" max="3073" width="35.7109375" style="429" customWidth="1"/>
    <col min="3074" max="3075" width="16.28515625" style="429" customWidth="1"/>
    <col min="3076" max="3076" width="35.7109375" style="429" customWidth="1"/>
    <col min="3077" max="3078" width="16.28515625" style="429" customWidth="1"/>
    <col min="3079" max="3079" width="15.42578125" style="429" bestFit="1" customWidth="1"/>
    <col min="3080" max="3080" width="14.42578125" style="429" bestFit="1" customWidth="1"/>
    <col min="3081" max="3328" width="9.140625" style="429"/>
    <col min="3329" max="3329" width="35.7109375" style="429" customWidth="1"/>
    <col min="3330" max="3331" width="16.28515625" style="429" customWidth="1"/>
    <col min="3332" max="3332" width="35.7109375" style="429" customWidth="1"/>
    <col min="3333" max="3334" width="16.28515625" style="429" customWidth="1"/>
    <col min="3335" max="3335" width="15.42578125" style="429" bestFit="1" customWidth="1"/>
    <col min="3336" max="3336" width="14.42578125" style="429" bestFit="1" customWidth="1"/>
    <col min="3337" max="3584" width="9.140625" style="429"/>
    <col min="3585" max="3585" width="35.7109375" style="429" customWidth="1"/>
    <col min="3586" max="3587" width="16.28515625" style="429" customWidth="1"/>
    <col min="3588" max="3588" width="35.7109375" style="429" customWidth="1"/>
    <col min="3589" max="3590" width="16.28515625" style="429" customWidth="1"/>
    <col min="3591" max="3591" width="15.42578125" style="429" bestFit="1" customWidth="1"/>
    <col min="3592" max="3592" width="14.42578125" style="429" bestFit="1" customWidth="1"/>
    <col min="3593" max="3840" width="9.140625" style="429"/>
    <col min="3841" max="3841" width="35.7109375" style="429" customWidth="1"/>
    <col min="3842" max="3843" width="16.28515625" style="429" customWidth="1"/>
    <col min="3844" max="3844" width="35.7109375" style="429" customWidth="1"/>
    <col min="3845" max="3846" width="16.28515625" style="429" customWidth="1"/>
    <col min="3847" max="3847" width="15.42578125" style="429" bestFit="1" customWidth="1"/>
    <col min="3848" max="3848" width="14.42578125" style="429" bestFit="1" customWidth="1"/>
    <col min="3849" max="4096" width="9.140625" style="429"/>
    <col min="4097" max="4097" width="35.7109375" style="429" customWidth="1"/>
    <col min="4098" max="4099" width="16.28515625" style="429" customWidth="1"/>
    <col min="4100" max="4100" width="35.7109375" style="429" customWidth="1"/>
    <col min="4101" max="4102" width="16.28515625" style="429" customWidth="1"/>
    <col min="4103" max="4103" width="15.42578125" style="429" bestFit="1" customWidth="1"/>
    <col min="4104" max="4104" width="14.42578125" style="429" bestFit="1" customWidth="1"/>
    <col min="4105" max="4352" width="9.140625" style="429"/>
    <col min="4353" max="4353" width="35.7109375" style="429" customWidth="1"/>
    <col min="4354" max="4355" width="16.28515625" style="429" customWidth="1"/>
    <col min="4356" max="4356" width="35.7109375" style="429" customWidth="1"/>
    <col min="4357" max="4358" width="16.28515625" style="429" customWidth="1"/>
    <col min="4359" max="4359" width="15.42578125" style="429" bestFit="1" customWidth="1"/>
    <col min="4360" max="4360" width="14.42578125" style="429" bestFit="1" customWidth="1"/>
    <col min="4361" max="4608" width="9.140625" style="429"/>
    <col min="4609" max="4609" width="35.7109375" style="429" customWidth="1"/>
    <col min="4610" max="4611" width="16.28515625" style="429" customWidth="1"/>
    <col min="4612" max="4612" width="35.7109375" style="429" customWidth="1"/>
    <col min="4613" max="4614" width="16.28515625" style="429" customWidth="1"/>
    <col min="4615" max="4615" width="15.42578125" style="429" bestFit="1" customWidth="1"/>
    <col min="4616" max="4616" width="14.42578125" style="429" bestFit="1" customWidth="1"/>
    <col min="4617" max="4864" width="9.140625" style="429"/>
    <col min="4865" max="4865" width="35.7109375" style="429" customWidth="1"/>
    <col min="4866" max="4867" width="16.28515625" style="429" customWidth="1"/>
    <col min="4868" max="4868" width="35.7109375" style="429" customWidth="1"/>
    <col min="4869" max="4870" width="16.28515625" style="429" customWidth="1"/>
    <col min="4871" max="4871" width="15.42578125" style="429" bestFit="1" customWidth="1"/>
    <col min="4872" max="4872" width="14.42578125" style="429" bestFit="1" customWidth="1"/>
    <col min="4873" max="5120" width="9.140625" style="429"/>
    <col min="5121" max="5121" width="35.7109375" style="429" customWidth="1"/>
    <col min="5122" max="5123" width="16.28515625" style="429" customWidth="1"/>
    <col min="5124" max="5124" width="35.7109375" style="429" customWidth="1"/>
    <col min="5125" max="5126" width="16.28515625" style="429" customWidth="1"/>
    <col min="5127" max="5127" width="15.42578125" style="429" bestFit="1" customWidth="1"/>
    <col min="5128" max="5128" width="14.42578125" style="429" bestFit="1" customWidth="1"/>
    <col min="5129" max="5376" width="9.140625" style="429"/>
    <col min="5377" max="5377" width="35.7109375" style="429" customWidth="1"/>
    <col min="5378" max="5379" width="16.28515625" style="429" customWidth="1"/>
    <col min="5380" max="5380" width="35.7109375" style="429" customWidth="1"/>
    <col min="5381" max="5382" width="16.28515625" style="429" customWidth="1"/>
    <col min="5383" max="5383" width="15.42578125" style="429" bestFit="1" customWidth="1"/>
    <col min="5384" max="5384" width="14.42578125" style="429" bestFit="1" customWidth="1"/>
    <col min="5385" max="5632" width="9.140625" style="429"/>
    <col min="5633" max="5633" width="35.7109375" style="429" customWidth="1"/>
    <col min="5634" max="5635" width="16.28515625" style="429" customWidth="1"/>
    <col min="5636" max="5636" width="35.7109375" style="429" customWidth="1"/>
    <col min="5637" max="5638" width="16.28515625" style="429" customWidth="1"/>
    <col min="5639" max="5639" width="15.42578125" style="429" bestFit="1" customWidth="1"/>
    <col min="5640" max="5640" width="14.42578125" style="429" bestFit="1" customWidth="1"/>
    <col min="5641" max="5888" width="9.140625" style="429"/>
    <col min="5889" max="5889" width="35.7109375" style="429" customWidth="1"/>
    <col min="5890" max="5891" width="16.28515625" style="429" customWidth="1"/>
    <col min="5892" max="5892" width="35.7109375" style="429" customWidth="1"/>
    <col min="5893" max="5894" width="16.28515625" style="429" customWidth="1"/>
    <col min="5895" max="5895" width="15.42578125" style="429" bestFit="1" customWidth="1"/>
    <col min="5896" max="5896" width="14.42578125" style="429" bestFit="1" customWidth="1"/>
    <col min="5897" max="6144" width="9.140625" style="429"/>
    <col min="6145" max="6145" width="35.7109375" style="429" customWidth="1"/>
    <col min="6146" max="6147" width="16.28515625" style="429" customWidth="1"/>
    <col min="6148" max="6148" width="35.7109375" style="429" customWidth="1"/>
    <col min="6149" max="6150" width="16.28515625" style="429" customWidth="1"/>
    <col min="6151" max="6151" width="15.42578125" style="429" bestFit="1" customWidth="1"/>
    <col min="6152" max="6152" width="14.42578125" style="429" bestFit="1" customWidth="1"/>
    <col min="6153" max="6400" width="9.140625" style="429"/>
    <col min="6401" max="6401" width="35.7109375" style="429" customWidth="1"/>
    <col min="6402" max="6403" width="16.28515625" style="429" customWidth="1"/>
    <col min="6404" max="6404" width="35.7109375" style="429" customWidth="1"/>
    <col min="6405" max="6406" width="16.28515625" style="429" customWidth="1"/>
    <col min="6407" max="6407" width="15.42578125" style="429" bestFit="1" customWidth="1"/>
    <col min="6408" max="6408" width="14.42578125" style="429" bestFit="1" customWidth="1"/>
    <col min="6409" max="6656" width="9.140625" style="429"/>
    <col min="6657" max="6657" width="35.7109375" style="429" customWidth="1"/>
    <col min="6658" max="6659" width="16.28515625" style="429" customWidth="1"/>
    <col min="6660" max="6660" width="35.7109375" style="429" customWidth="1"/>
    <col min="6661" max="6662" width="16.28515625" style="429" customWidth="1"/>
    <col min="6663" max="6663" width="15.42578125" style="429" bestFit="1" customWidth="1"/>
    <col min="6664" max="6664" width="14.42578125" style="429" bestFit="1" customWidth="1"/>
    <col min="6665" max="6912" width="9.140625" style="429"/>
    <col min="6913" max="6913" width="35.7109375" style="429" customWidth="1"/>
    <col min="6914" max="6915" width="16.28515625" style="429" customWidth="1"/>
    <col min="6916" max="6916" width="35.7109375" style="429" customWidth="1"/>
    <col min="6917" max="6918" width="16.28515625" style="429" customWidth="1"/>
    <col min="6919" max="6919" width="15.42578125" style="429" bestFit="1" customWidth="1"/>
    <col min="6920" max="6920" width="14.42578125" style="429" bestFit="1" customWidth="1"/>
    <col min="6921" max="7168" width="9.140625" style="429"/>
    <col min="7169" max="7169" width="35.7109375" style="429" customWidth="1"/>
    <col min="7170" max="7171" width="16.28515625" style="429" customWidth="1"/>
    <col min="7172" max="7172" width="35.7109375" style="429" customWidth="1"/>
    <col min="7173" max="7174" width="16.28515625" style="429" customWidth="1"/>
    <col min="7175" max="7175" width="15.42578125" style="429" bestFit="1" customWidth="1"/>
    <col min="7176" max="7176" width="14.42578125" style="429" bestFit="1" customWidth="1"/>
    <col min="7177" max="7424" width="9.140625" style="429"/>
    <col min="7425" max="7425" width="35.7109375" style="429" customWidth="1"/>
    <col min="7426" max="7427" width="16.28515625" style="429" customWidth="1"/>
    <col min="7428" max="7428" width="35.7109375" style="429" customWidth="1"/>
    <col min="7429" max="7430" width="16.28515625" style="429" customWidth="1"/>
    <col min="7431" max="7431" width="15.42578125" style="429" bestFit="1" customWidth="1"/>
    <col min="7432" max="7432" width="14.42578125" style="429" bestFit="1" customWidth="1"/>
    <col min="7433" max="7680" width="9.140625" style="429"/>
    <col min="7681" max="7681" width="35.7109375" style="429" customWidth="1"/>
    <col min="7682" max="7683" width="16.28515625" style="429" customWidth="1"/>
    <col min="7684" max="7684" width="35.7109375" style="429" customWidth="1"/>
    <col min="7685" max="7686" width="16.28515625" style="429" customWidth="1"/>
    <col min="7687" max="7687" width="15.42578125" style="429" bestFit="1" customWidth="1"/>
    <col min="7688" max="7688" width="14.42578125" style="429" bestFit="1" customWidth="1"/>
    <col min="7689" max="7936" width="9.140625" style="429"/>
    <col min="7937" max="7937" width="35.7109375" style="429" customWidth="1"/>
    <col min="7938" max="7939" width="16.28515625" style="429" customWidth="1"/>
    <col min="7940" max="7940" width="35.7109375" style="429" customWidth="1"/>
    <col min="7941" max="7942" width="16.28515625" style="429" customWidth="1"/>
    <col min="7943" max="7943" width="15.42578125" style="429" bestFit="1" customWidth="1"/>
    <col min="7944" max="7944" width="14.42578125" style="429" bestFit="1" customWidth="1"/>
    <col min="7945" max="8192" width="9.140625" style="429"/>
    <col min="8193" max="8193" width="35.7109375" style="429" customWidth="1"/>
    <col min="8194" max="8195" width="16.28515625" style="429" customWidth="1"/>
    <col min="8196" max="8196" width="35.7109375" style="429" customWidth="1"/>
    <col min="8197" max="8198" width="16.28515625" style="429" customWidth="1"/>
    <col min="8199" max="8199" width="15.42578125" style="429" bestFit="1" customWidth="1"/>
    <col min="8200" max="8200" width="14.42578125" style="429" bestFit="1" customWidth="1"/>
    <col min="8201" max="8448" width="9.140625" style="429"/>
    <col min="8449" max="8449" width="35.7109375" style="429" customWidth="1"/>
    <col min="8450" max="8451" width="16.28515625" style="429" customWidth="1"/>
    <col min="8452" max="8452" width="35.7109375" style="429" customWidth="1"/>
    <col min="8453" max="8454" width="16.28515625" style="429" customWidth="1"/>
    <col min="8455" max="8455" width="15.42578125" style="429" bestFit="1" customWidth="1"/>
    <col min="8456" max="8456" width="14.42578125" style="429" bestFit="1" customWidth="1"/>
    <col min="8457" max="8704" width="9.140625" style="429"/>
    <col min="8705" max="8705" width="35.7109375" style="429" customWidth="1"/>
    <col min="8706" max="8707" width="16.28515625" style="429" customWidth="1"/>
    <col min="8708" max="8708" width="35.7109375" style="429" customWidth="1"/>
    <col min="8709" max="8710" width="16.28515625" style="429" customWidth="1"/>
    <col min="8711" max="8711" width="15.42578125" style="429" bestFit="1" customWidth="1"/>
    <col min="8712" max="8712" width="14.42578125" style="429" bestFit="1" customWidth="1"/>
    <col min="8713" max="8960" width="9.140625" style="429"/>
    <col min="8961" max="8961" width="35.7109375" style="429" customWidth="1"/>
    <col min="8962" max="8963" width="16.28515625" style="429" customWidth="1"/>
    <col min="8964" max="8964" width="35.7109375" style="429" customWidth="1"/>
    <col min="8965" max="8966" width="16.28515625" style="429" customWidth="1"/>
    <col min="8967" max="8967" width="15.42578125" style="429" bestFit="1" customWidth="1"/>
    <col min="8968" max="8968" width="14.42578125" style="429" bestFit="1" customWidth="1"/>
    <col min="8969" max="9216" width="9.140625" style="429"/>
    <col min="9217" max="9217" width="35.7109375" style="429" customWidth="1"/>
    <col min="9218" max="9219" width="16.28515625" style="429" customWidth="1"/>
    <col min="9220" max="9220" width="35.7109375" style="429" customWidth="1"/>
    <col min="9221" max="9222" width="16.28515625" style="429" customWidth="1"/>
    <col min="9223" max="9223" width="15.42578125" style="429" bestFit="1" customWidth="1"/>
    <col min="9224" max="9224" width="14.42578125" style="429" bestFit="1" customWidth="1"/>
    <col min="9225" max="9472" width="9.140625" style="429"/>
    <col min="9473" max="9473" width="35.7109375" style="429" customWidth="1"/>
    <col min="9474" max="9475" width="16.28515625" style="429" customWidth="1"/>
    <col min="9476" max="9476" width="35.7109375" style="429" customWidth="1"/>
    <col min="9477" max="9478" width="16.28515625" style="429" customWidth="1"/>
    <col min="9479" max="9479" width="15.42578125" style="429" bestFit="1" customWidth="1"/>
    <col min="9480" max="9480" width="14.42578125" style="429" bestFit="1" customWidth="1"/>
    <col min="9481" max="9728" width="9.140625" style="429"/>
    <col min="9729" max="9729" width="35.7109375" style="429" customWidth="1"/>
    <col min="9730" max="9731" width="16.28515625" style="429" customWidth="1"/>
    <col min="9732" max="9732" width="35.7109375" style="429" customWidth="1"/>
    <col min="9733" max="9734" width="16.28515625" style="429" customWidth="1"/>
    <col min="9735" max="9735" width="15.42578125" style="429" bestFit="1" customWidth="1"/>
    <col min="9736" max="9736" width="14.42578125" style="429" bestFit="1" customWidth="1"/>
    <col min="9737" max="9984" width="9.140625" style="429"/>
    <col min="9985" max="9985" width="35.7109375" style="429" customWidth="1"/>
    <col min="9986" max="9987" width="16.28515625" style="429" customWidth="1"/>
    <col min="9988" max="9988" width="35.7109375" style="429" customWidth="1"/>
    <col min="9989" max="9990" width="16.28515625" style="429" customWidth="1"/>
    <col min="9991" max="9991" width="15.42578125" style="429" bestFit="1" customWidth="1"/>
    <col min="9992" max="9992" width="14.42578125" style="429" bestFit="1" customWidth="1"/>
    <col min="9993" max="10240" width="9.140625" style="429"/>
    <col min="10241" max="10241" width="35.7109375" style="429" customWidth="1"/>
    <col min="10242" max="10243" width="16.28515625" style="429" customWidth="1"/>
    <col min="10244" max="10244" width="35.7109375" style="429" customWidth="1"/>
    <col min="10245" max="10246" width="16.28515625" style="429" customWidth="1"/>
    <col min="10247" max="10247" width="15.42578125" style="429" bestFit="1" customWidth="1"/>
    <col min="10248" max="10248" width="14.42578125" style="429" bestFit="1" customWidth="1"/>
    <col min="10249" max="10496" width="9.140625" style="429"/>
    <col min="10497" max="10497" width="35.7109375" style="429" customWidth="1"/>
    <col min="10498" max="10499" width="16.28515625" style="429" customWidth="1"/>
    <col min="10500" max="10500" width="35.7109375" style="429" customWidth="1"/>
    <col min="10501" max="10502" width="16.28515625" style="429" customWidth="1"/>
    <col min="10503" max="10503" width="15.42578125" style="429" bestFit="1" customWidth="1"/>
    <col min="10504" max="10504" width="14.42578125" style="429" bestFit="1" customWidth="1"/>
    <col min="10505" max="10752" width="9.140625" style="429"/>
    <col min="10753" max="10753" width="35.7109375" style="429" customWidth="1"/>
    <col min="10754" max="10755" width="16.28515625" style="429" customWidth="1"/>
    <col min="10756" max="10756" width="35.7109375" style="429" customWidth="1"/>
    <col min="10757" max="10758" width="16.28515625" style="429" customWidth="1"/>
    <col min="10759" max="10759" width="15.42578125" style="429" bestFit="1" customWidth="1"/>
    <col min="10760" max="10760" width="14.42578125" style="429" bestFit="1" customWidth="1"/>
    <col min="10761" max="11008" width="9.140625" style="429"/>
    <col min="11009" max="11009" width="35.7109375" style="429" customWidth="1"/>
    <col min="11010" max="11011" width="16.28515625" style="429" customWidth="1"/>
    <col min="11012" max="11012" width="35.7109375" style="429" customWidth="1"/>
    <col min="11013" max="11014" width="16.28515625" style="429" customWidth="1"/>
    <col min="11015" max="11015" width="15.42578125" style="429" bestFit="1" customWidth="1"/>
    <col min="11016" max="11016" width="14.42578125" style="429" bestFit="1" customWidth="1"/>
    <col min="11017" max="11264" width="9.140625" style="429"/>
    <col min="11265" max="11265" width="35.7109375" style="429" customWidth="1"/>
    <col min="11266" max="11267" width="16.28515625" style="429" customWidth="1"/>
    <col min="11268" max="11268" width="35.7109375" style="429" customWidth="1"/>
    <col min="11269" max="11270" width="16.28515625" style="429" customWidth="1"/>
    <col min="11271" max="11271" width="15.42578125" style="429" bestFit="1" customWidth="1"/>
    <col min="11272" max="11272" width="14.42578125" style="429" bestFit="1" customWidth="1"/>
    <col min="11273" max="11520" width="9.140625" style="429"/>
    <col min="11521" max="11521" width="35.7109375" style="429" customWidth="1"/>
    <col min="11522" max="11523" width="16.28515625" style="429" customWidth="1"/>
    <col min="11524" max="11524" width="35.7109375" style="429" customWidth="1"/>
    <col min="11525" max="11526" width="16.28515625" style="429" customWidth="1"/>
    <col min="11527" max="11527" width="15.42578125" style="429" bestFit="1" customWidth="1"/>
    <col min="11528" max="11528" width="14.42578125" style="429" bestFit="1" customWidth="1"/>
    <col min="11529" max="11776" width="9.140625" style="429"/>
    <col min="11777" max="11777" width="35.7109375" style="429" customWidth="1"/>
    <col min="11778" max="11779" width="16.28515625" style="429" customWidth="1"/>
    <col min="11780" max="11780" width="35.7109375" style="429" customWidth="1"/>
    <col min="11781" max="11782" width="16.28515625" style="429" customWidth="1"/>
    <col min="11783" max="11783" width="15.42578125" style="429" bestFit="1" customWidth="1"/>
    <col min="11784" max="11784" width="14.42578125" style="429" bestFit="1" customWidth="1"/>
    <col min="11785" max="12032" width="9.140625" style="429"/>
    <col min="12033" max="12033" width="35.7109375" style="429" customWidth="1"/>
    <col min="12034" max="12035" width="16.28515625" style="429" customWidth="1"/>
    <col min="12036" max="12036" width="35.7109375" style="429" customWidth="1"/>
    <col min="12037" max="12038" width="16.28515625" style="429" customWidth="1"/>
    <col min="12039" max="12039" width="15.42578125" style="429" bestFit="1" customWidth="1"/>
    <col min="12040" max="12040" width="14.42578125" style="429" bestFit="1" customWidth="1"/>
    <col min="12041" max="12288" width="9.140625" style="429"/>
    <col min="12289" max="12289" width="35.7109375" style="429" customWidth="1"/>
    <col min="12290" max="12291" width="16.28515625" style="429" customWidth="1"/>
    <col min="12292" max="12292" width="35.7109375" style="429" customWidth="1"/>
    <col min="12293" max="12294" width="16.28515625" style="429" customWidth="1"/>
    <col min="12295" max="12295" width="15.42578125" style="429" bestFit="1" customWidth="1"/>
    <col min="12296" max="12296" width="14.42578125" style="429" bestFit="1" customWidth="1"/>
    <col min="12297" max="12544" width="9.140625" style="429"/>
    <col min="12545" max="12545" width="35.7109375" style="429" customWidth="1"/>
    <col min="12546" max="12547" width="16.28515625" style="429" customWidth="1"/>
    <col min="12548" max="12548" width="35.7109375" style="429" customWidth="1"/>
    <col min="12549" max="12550" width="16.28515625" style="429" customWidth="1"/>
    <col min="12551" max="12551" width="15.42578125" style="429" bestFit="1" customWidth="1"/>
    <col min="12552" max="12552" width="14.42578125" style="429" bestFit="1" customWidth="1"/>
    <col min="12553" max="12800" width="9.140625" style="429"/>
    <col min="12801" max="12801" width="35.7109375" style="429" customWidth="1"/>
    <col min="12802" max="12803" width="16.28515625" style="429" customWidth="1"/>
    <col min="12804" max="12804" width="35.7109375" style="429" customWidth="1"/>
    <col min="12805" max="12806" width="16.28515625" style="429" customWidth="1"/>
    <col min="12807" max="12807" width="15.42578125" style="429" bestFit="1" customWidth="1"/>
    <col min="12808" max="12808" width="14.42578125" style="429" bestFit="1" customWidth="1"/>
    <col min="12809" max="13056" width="9.140625" style="429"/>
    <col min="13057" max="13057" width="35.7109375" style="429" customWidth="1"/>
    <col min="13058" max="13059" width="16.28515625" style="429" customWidth="1"/>
    <col min="13060" max="13060" width="35.7109375" style="429" customWidth="1"/>
    <col min="13061" max="13062" width="16.28515625" style="429" customWidth="1"/>
    <col min="13063" max="13063" width="15.42578125" style="429" bestFit="1" customWidth="1"/>
    <col min="13064" max="13064" width="14.42578125" style="429" bestFit="1" customWidth="1"/>
    <col min="13065" max="13312" width="9.140625" style="429"/>
    <col min="13313" max="13313" width="35.7109375" style="429" customWidth="1"/>
    <col min="13314" max="13315" width="16.28515625" style="429" customWidth="1"/>
    <col min="13316" max="13316" width="35.7109375" style="429" customWidth="1"/>
    <col min="13317" max="13318" width="16.28515625" style="429" customWidth="1"/>
    <col min="13319" max="13319" width="15.42578125" style="429" bestFit="1" customWidth="1"/>
    <col min="13320" max="13320" width="14.42578125" style="429" bestFit="1" customWidth="1"/>
    <col min="13321" max="13568" width="9.140625" style="429"/>
    <col min="13569" max="13569" width="35.7109375" style="429" customWidth="1"/>
    <col min="13570" max="13571" width="16.28515625" style="429" customWidth="1"/>
    <col min="13572" max="13572" width="35.7109375" style="429" customWidth="1"/>
    <col min="13573" max="13574" width="16.28515625" style="429" customWidth="1"/>
    <col min="13575" max="13575" width="15.42578125" style="429" bestFit="1" customWidth="1"/>
    <col min="13576" max="13576" width="14.42578125" style="429" bestFit="1" customWidth="1"/>
    <col min="13577" max="13824" width="9.140625" style="429"/>
    <col min="13825" max="13825" width="35.7109375" style="429" customWidth="1"/>
    <col min="13826" max="13827" width="16.28515625" style="429" customWidth="1"/>
    <col min="13828" max="13828" width="35.7109375" style="429" customWidth="1"/>
    <col min="13829" max="13830" width="16.28515625" style="429" customWidth="1"/>
    <col min="13831" max="13831" width="15.42578125" style="429" bestFit="1" customWidth="1"/>
    <col min="13832" max="13832" width="14.42578125" style="429" bestFit="1" customWidth="1"/>
    <col min="13833" max="14080" width="9.140625" style="429"/>
    <col min="14081" max="14081" width="35.7109375" style="429" customWidth="1"/>
    <col min="14082" max="14083" width="16.28515625" style="429" customWidth="1"/>
    <col min="14084" max="14084" width="35.7109375" style="429" customWidth="1"/>
    <col min="14085" max="14086" width="16.28515625" style="429" customWidth="1"/>
    <col min="14087" max="14087" width="15.42578125" style="429" bestFit="1" customWidth="1"/>
    <col min="14088" max="14088" width="14.42578125" style="429" bestFit="1" customWidth="1"/>
    <col min="14089" max="14336" width="9.140625" style="429"/>
    <col min="14337" max="14337" width="35.7109375" style="429" customWidth="1"/>
    <col min="14338" max="14339" width="16.28515625" style="429" customWidth="1"/>
    <col min="14340" max="14340" width="35.7109375" style="429" customWidth="1"/>
    <col min="14341" max="14342" width="16.28515625" style="429" customWidth="1"/>
    <col min="14343" max="14343" width="15.42578125" style="429" bestFit="1" customWidth="1"/>
    <col min="14344" max="14344" width="14.42578125" style="429" bestFit="1" customWidth="1"/>
    <col min="14345" max="14592" width="9.140625" style="429"/>
    <col min="14593" max="14593" width="35.7109375" style="429" customWidth="1"/>
    <col min="14594" max="14595" width="16.28515625" style="429" customWidth="1"/>
    <col min="14596" max="14596" width="35.7109375" style="429" customWidth="1"/>
    <col min="14597" max="14598" width="16.28515625" style="429" customWidth="1"/>
    <col min="14599" max="14599" width="15.42578125" style="429" bestFit="1" customWidth="1"/>
    <col min="14600" max="14600" width="14.42578125" style="429" bestFit="1" customWidth="1"/>
    <col min="14601" max="14848" width="9.140625" style="429"/>
    <col min="14849" max="14849" width="35.7109375" style="429" customWidth="1"/>
    <col min="14850" max="14851" width="16.28515625" style="429" customWidth="1"/>
    <col min="14852" max="14852" width="35.7109375" style="429" customWidth="1"/>
    <col min="14853" max="14854" width="16.28515625" style="429" customWidth="1"/>
    <col min="14855" max="14855" width="15.42578125" style="429" bestFit="1" customWidth="1"/>
    <col min="14856" max="14856" width="14.42578125" style="429" bestFit="1" customWidth="1"/>
    <col min="14857" max="15104" width="9.140625" style="429"/>
    <col min="15105" max="15105" width="35.7109375" style="429" customWidth="1"/>
    <col min="15106" max="15107" width="16.28515625" style="429" customWidth="1"/>
    <col min="15108" max="15108" width="35.7109375" style="429" customWidth="1"/>
    <col min="15109" max="15110" width="16.28515625" style="429" customWidth="1"/>
    <col min="15111" max="15111" width="15.42578125" style="429" bestFit="1" customWidth="1"/>
    <col min="15112" max="15112" width="14.42578125" style="429" bestFit="1" customWidth="1"/>
    <col min="15113" max="15360" width="9.140625" style="429"/>
    <col min="15361" max="15361" width="35.7109375" style="429" customWidth="1"/>
    <col min="15362" max="15363" width="16.28515625" style="429" customWidth="1"/>
    <col min="15364" max="15364" width="35.7109375" style="429" customWidth="1"/>
    <col min="15365" max="15366" width="16.28515625" style="429" customWidth="1"/>
    <col min="15367" max="15367" width="15.42578125" style="429" bestFit="1" customWidth="1"/>
    <col min="15368" max="15368" width="14.42578125" style="429" bestFit="1" customWidth="1"/>
    <col min="15369" max="15616" width="9.140625" style="429"/>
    <col min="15617" max="15617" width="35.7109375" style="429" customWidth="1"/>
    <col min="15618" max="15619" width="16.28515625" style="429" customWidth="1"/>
    <col min="15620" max="15620" width="35.7109375" style="429" customWidth="1"/>
    <col min="15621" max="15622" width="16.28515625" style="429" customWidth="1"/>
    <col min="15623" max="15623" width="15.42578125" style="429" bestFit="1" customWidth="1"/>
    <col min="15624" max="15624" width="14.42578125" style="429" bestFit="1" customWidth="1"/>
    <col min="15625" max="15872" width="9.140625" style="429"/>
    <col min="15873" max="15873" width="35.7109375" style="429" customWidth="1"/>
    <col min="15874" max="15875" width="16.28515625" style="429" customWidth="1"/>
    <col min="15876" max="15876" width="35.7109375" style="429" customWidth="1"/>
    <col min="15877" max="15878" width="16.28515625" style="429" customWidth="1"/>
    <col min="15879" max="15879" width="15.42578125" style="429" bestFit="1" customWidth="1"/>
    <col min="15880" max="15880" width="14.42578125" style="429" bestFit="1" customWidth="1"/>
    <col min="15881" max="16128" width="9.140625" style="429"/>
    <col min="16129" max="16129" width="35.7109375" style="429" customWidth="1"/>
    <col min="16130" max="16131" width="16.28515625" style="429" customWidth="1"/>
    <col min="16132" max="16132" width="35.7109375" style="429" customWidth="1"/>
    <col min="16133" max="16134" width="16.28515625" style="429" customWidth="1"/>
    <col min="16135" max="16135" width="15.42578125" style="429" bestFit="1" customWidth="1"/>
    <col min="16136" max="16136" width="14.42578125" style="429" bestFit="1" customWidth="1"/>
    <col min="16137" max="16384" width="9.140625" style="429"/>
  </cols>
  <sheetData>
    <row r="1" spans="1:10" x14ac:dyDescent="0.2">
      <c r="A1" s="428" t="s">
        <v>738</v>
      </c>
    </row>
    <row r="2" spans="1:10" ht="13.5" thickBot="1" x14ac:dyDescent="0.25">
      <c r="E2" s="508"/>
    </row>
    <row r="3" spans="1:10" ht="15.75" x14ac:dyDescent="0.2">
      <c r="A3" s="431" t="s">
        <v>739</v>
      </c>
      <c r="B3" s="497"/>
      <c r="C3" s="1313" t="s">
        <v>740</v>
      </c>
      <c r="D3" s="1313"/>
      <c r="E3" s="509" t="s">
        <v>741</v>
      </c>
      <c r="F3" s="432"/>
    </row>
    <row r="4" spans="1:10" x14ac:dyDescent="0.2">
      <c r="A4" s="433" t="s">
        <v>742</v>
      </c>
      <c r="B4" s="498"/>
      <c r="C4" s="1314" t="s">
        <v>743</v>
      </c>
      <c r="D4" s="1314"/>
      <c r="E4" s="510" t="s">
        <v>744</v>
      </c>
      <c r="F4" s="434"/>
    </row>
    <row r="5" spans="1:10" x14ac:dyDescent="0.2">
      <c r="A5" s="435" t="s">
        <v>745</v>
      </c>
      <c r="B5" s="499"/>
      <c r="C5" s="1315" t="s">
        <v>746</v>
      </c>
      <c r="D5" s="1315"/>
      <c r="E5" s="510" t="s">
        <v>747</v>
      </c>
      <c r="F5" s="434"/>
    </row>
    <row r="6" spans="1:10" x14ac:dyDescent="0.2">
      <c r="A6" s="435" t="s">
        <v>748</v>
      </c>
      <c r="B6" s="499"/>
      <c r="C6" s="1315" t="s">
        <v>749</v>
      </c>
      <c r="D6" s="1315"/>
      <c r="E6" s="510" t="s">
        <v>750</v>
      </c>
      <c r="F6" s="434"/>
    </row>
    <row r="7" spans="1:10" x14ac:dyDescent="0.2">
      <c r="A7" s="436" t="s">
        <v>751</v>
      </c>
      <c r="B7" s="500"/>
      <c r="C7" s="1316" t="s">
        <v>752</v>
      </c>
      <c r="D7" s="1316"/>
      <c r="E7" s="511"/>
      <c r="F7" s="437"/>
    </row>
    <row r="8" spans="1:10" x14ac:dyDescent="0.2">
      <c r="A8" s="438" t="s">
        <v>753</v>
      </c>
      <c r="B8" s="501"/>
      <c r="C8" s="1314" t="s">
        <v>754</v>
      </c>
      <c r="D8" s="1314"/>
      <c r="E8" s="512" t="s">
        <v>755</v>
      </c>
      <c r="F8" s="439"/>
    </row>
    <row r="9" spans="1:10" x14ac:dyDescent="0.2">
      <c r="A9" s="433" t="s">
        <v>756</v>
      </c>
      <c r="B9" s="498"/>
      <c r="C9" s="440"/>
      <c r="D9" s="440"/>
      <c r="E9" s="513"/>
      <c r="F9" s="441"/>
    </row>
    <row r="10" spans="1:10" ht="13.5" thickBot="1" x14ac:dyDescent="0.25">
      <c r="A10" s="442" t="s">
        <v>61</v>
      </c>
      <c r="B10" s="502"/>
      <c r="C10" s="1310" t="s">
        <v>1047</v>
      </c>
      <c r="D10" s="1310"/>
      <c r="E10" s="514"/>
      <c r="F10" s="443"/>
    </row>
    <row r="11" spans="1:10" ht="13.5" customHeight="1" thickBot="1" x14ac:dyDescent="0.25">
      <c r="A11" s="444"/>
      <c r="B11" s="503"/>
      <c r="C11" s="440"/>
      <c r="D11" s="440"/>
      <c r="E11" s="503"/>
      <c r="F11" s="441"/>
    </row>
    <row r="12" spans="1:10" s="449" customFormat="1" ht="26.25" thickBot="1" x14ac:dyDescent="0.25">
      <c r="A12" s="445" t="s">
        <v>230</v>
      </c>
      <c r="B12" s="504" t="s">
        <v>389</v>
      </c>
      <c r="C12" s="446" t="s">
        <v>757</v>
      </c>
      <c r="D12" s="447" t="s">
        <v>238</v>
      </c>
      <c r="E12" s="515" t="s">
        <v>892</v>
      </c>
      <c r="F12" s="448" t="s">
        <v>758</v>
      </c>
      <c r="G12" s="468"/>
    </row>
    <row r="13" spans="1:10" s="449" customFormat="1" ht="18.75" customHeight="1" x14ac:dyDescent="0.2">
      <c r="A13" s="450" t="s">
        <v>759</v>
      </c>
      <c r="B13" s="1110">
        <f>B14+B15+B25+B26+B30+B31</f>
        <v>845679349.00999999</v>
      </c>
      <c r="C13" s="1110">
        <f>C14+C15+C25+C26+C30+C31</f>
        <v>1074158823.78</v>
      </c>
      <c r="D13" s="564" t="s">
        <v>760</v>
      </c>
      <c r="E13" s="565">
        <f>E14+E15+E19+E20+E21</f>
        <v>834731518.76999998</v>
      </c>
      <c r="F13" s="1122">
        <f>F14+F15+F19+F20+F21</f>
        <v>1013024095.5200001</v>
      </c>
      <c r="G13" s="468"/>
      <c r="I13" s="468"/>
    </row>
    <row r="14" spans="1:10" s="449" customFormat="1" ht="18" customHeight="1" x14ac:dyDescent="0.2">
      <c r="A14" s="451" t="s">
        <v>761</v>
      </c>
      <c r="B14" s="1111">
        <f>1826249.51-651930.96-1174318.55</f>
        <v>0</v>
      </c>
      <c r="C14" s="1111">
        <f>2091144.69-1439213.73-651930.96</f>
        <v>0</v>
      </c>
      <c r="D14" s="566" t="s">
        <v>762</v>
      </c>
      <c r="E14" s="489">
        <f>Fundusz!I38</f>
        <v>919914376.22000003</v>
      </c>
      <c r="F14" s="1123">
        <f>Fundusz!K38</f>
        <v>1161482991.77</v>
      </c>
      <c r="G14" s="488"/>
      <c r="H14" s="468"/>
      <c r="I14" s="468"/>
    </row>
    <row r="15" spans="1:10" s="449" customFormat="1" ht="16.5" customHeight="1" x14ac:dyDescent="0.2">
      <c r="A15" s="452" t="s">
        <v>763</v>
      </c>
      <c r="B15" s="1112">
        <f>B16+B23+B24</f>
        <v>771729647.23000002</v>
      </c>
      <c r="C15" s="1112">
        <f>C16+C23+C24</f>
        <v>1012389879.3199999</v>
      </c>
      <c r="D15" s="567" t="s">
        <v>764</v>
      </c>
      <c r="E15" s="489">
        <f>E17</f>
        <v>-85182857.450000003</v>
      </c>
      <c r="F15" s="1123">
        <f>F17</f>
        <v>-148458896.24999988</v>
      </c>
      <c r="G15" s="488"/>
      <c r="I15" s="468"/>
      <c r="J15" s="468"/>
    </row>
    <row r="16" spans="1:10" s="449" customFormat="1" ht="18" customHeight="1" x14ac:dyDescent="0.2">
      <c r="A16" s="450" t="s">
        <v>765</v>
      </c>
      <c r="B16" s="1113">
        <f>SUM(B17:B22)-B18</f>
        <v>630429784.32000005</v>
      </c>
      <c r="C16" s="1113">
        <f>SUM(C17:C22)-C18</f>
        <v>829675888.38999987</v>
      </c>
      <c r="D16" s="568" t="s">
        <v>766</v>
      </c>
      <c r="E16" s="490">
        <v>0</v>
      </c>
      <c r="F16" s="1124">
        <v>0</v>
      </c>
      <c r="G16" s="488"/>
      <c r="I16" s="468"/>
      <c r="J16" s="468"/>
    </row>
    <row r="17" spans="1:9" s="449" customFormat="1" ht="16.5" customHeight="1" x14ac:dyDescent="0.2">
      <c r="A17" s="453" t="s">
        <v>767</v>
      </c>
      <c r="B17" s="1114">
        <f>471938641.76+20579794.9+8563098.6-6682174.82-82567.29</f>
        <v>494316793.14999998</v>
      </c>
      <c r="C17" s="1114">
        <f>679707343.68+20579794.9+C18-7196669.7</f>
        <v>701528124.67999983</v>
      </c>
      <c r="D17" s="569" t="s">
        <v>768</v>
      </c>
      <c r="E17" s="490">
        <f>RZiS!I54</f>
        <v>-85182857.450000003</v>
      </c>
      <c r="F17" s="1124">
        <f>RZiS!K54</f>
        <v>-148458896.24999988</v>
      </c>
      <c r="G17" s="488"/>
      <c r="H17" s="468"/>
      <c r="I17" s="468"/>
    </row>
    <row r="18" spans="1:9" s="449" customFormat="1" ht="57" customHeight="1" x14ac:dyDescent="0.2">
      <c r="A18" s="454" t="s">
        <v>769</v>
      </c>
      <c r="B18" s="1114">
        <f>8563098.6-82567.29</f>
        <v>8480531.3100000005</v>
      </c>
      <c r="C18" s="1114">
        <f>8520223.09-82567.29</f>
        <v>8437655.8000000007</v>
      </c>
      <c r="D18" s="570" t="s">
        <v>770</v>
      </c>
      <c r="E18" s="489">
        <v>0</v>
      </c>
      <c r="F18" s="1123">
        <v>0</v>
      </c>
      <c r="G18" s="488"/>
      <c r="I18" s="468"/>
    </row>
    <row r="19" spans="1:9" s="449" customFormat="1" ht="25.5" x14ac:dyDescent="0.2">
      <c r="A19" s="454" t="s">
        <v>771</v>
      </c>
      <c r="B19" s="1114">
        <f>104043919.48+211465984.96-36799324.5-145126373.69</f>
        <v>133584206.25</v>
      </c>
      <c r="C19" s="1114">
        <f>104313402.62+213849145.12-39162074.05-152886986.15</f>
        <v>126113487.53999999</v>
      </c>
      <c r="D19" s="566" t="s">
        <v>772</v>
      </c>
      <c r="E19" s="489">
        <v>0</v>
      </c>
      <c r="F19" s="1123">
        <v>0</v>
      </c>
      <c r="G19" s="488"/>
      <c r="I19" s="468"/>
    </row>
    <row r="20" spans="1:9" s="449" customFormat="1" ht="18" customHeight="1" x14ac:dyDescent="0.2">
      <c r="A20" s="454" t="s">
        <v>773</v>
      </c>
      <c r="B20" s="1114">
        <f>4710880.1+6136731.1-4605855.3-4092892.48</f>
        <v>2148863.4199999995</v>
      </c>
      <c r="C20" s="1114">
        <f>4540872.65+6113787.41-4500137.47-4452511.14</f>
        <v>1702011.4500000011</v>
      </c>
      <c r="D20" s="566" t="s">
        <v>774</v>
      </c>
      <c r="E20" s="489">
        <v>0</v>
      </c>
      <c r="F20" s="1123">
        <v>0</v>
      </c>
      <c r="G20" s="488"/>
      <c r="I20" s="468"/>
    </row>
    <row r="21" spans="1:9" s="449" customFormat="1" x14ac:dyDescent="0.2">
      <c r="A21" s="454" t="s">
        <v>775</v>
      </c>
      <c r="B21" s="1114">
        <f>475789.21-324119.21</f>
        <v>151670</v>
      </c>
      <c r="C21" s="1114">
        <f>374560.21-254270.21</f>
        <v>120290.00000000003</v>
      </c>
      <c r="D21" s="566" t="s">
        <v>776</v>
      </c>
      <c r="E21" s="489">
        <v>0</v>
      </c>
      <c r="F21" s="1123">
        <v>0</v>
      </c>
      <c r="G21" s="488"/>
      <c r="I21" s="468"/>
    </row>
    <row r="22" spans="1:9" s="449" customFormat="1" ht="19.5" customHeight="1" x14ac:dyDescent="0.2">
      <c r="A22" s="455" t="s">
        <v>777</v>
      </c>
      <c r="B22" s="1114">
        <f>3438087.93+9260871.77+20364.06-3230200.49-4128086.32-1081559.93-4051225.52</f>
        <v>228251.49999999953</v>
      </c>
      <c r="C22" s="1114">
        <f>3367152.44+9659901.01+20364.06-3175541.78-3948796.62-1077149.67-4633954.72</f>
        <v>211974.72000000067</v>
      </c>
      <c r="D22" s="566"/>
      <c r="E22" s="489"/>
      <c r="F22" s="1123"/>
      <c r="G22" s="468"/>
      <c r="I22" s="468"/>
    </row>
    <row r="23" spans="1:9" s="449" customFormat="1" ht="25.5" x14ac:dyDescent="0.2">
      <c r="A23" s="451" t="s">
        <v>778</v>
      </c>
      <c r="B23" s="1111">
        <f>143555553.92-2255691.01</f>
        <v>141299862.91</v>
      </c>
      <c r="C23" s="1111">
        <f>184969681.94-2255691.01</f>
        <v>182713990.93000001</v>
      </c>
      <c r="D23" s="566" t="s">
        <v>779</v>
      </c>
      <c r="E23" s="489">
        <f>E24+E25+E36+E37</f>
        <v>59422651.539999999</v>
      </c>
      <c r="F23" s="1123">
        <f>F24+F25+F36+F37</f>
        <v>118437339.67999999</v>
      </c>
      <c r="G23" s="468"/>
      <c r="I23" s="468"/>
    </row>
    <row r="24" spans="1:9" s="449" customFormat="1" ht="25.5" x14ac:dyDescent="0.2">
      <c r="A24" s="451" t="s">
        <v>780</v>
      </c>
      <c r="B24" s="1111">
        <v>0</v>
      </c>
      <c r="C24" s="1111">
        <v>0</v>
      </c>
      <c r="D24" s="566" t="s">
        <v>781</v>
      </c>
      <c r="E24" s="489">
        <v>0</v>
      </c>
      <c r="F24" s="1123">
        <v>0</v>
      </c>
      <c r="G24" s="468"/>
      <c r="I24" s="468"/>
    </row>
    <row r="25" spans="1:9" s="449" customFormat="1" ht="17.25" customHeight="1" x14ac:dyDescent="0.2">
      <c r="A25" s="451" t="s">
        <v>782</v>
      </c>
      <c r="B25" s="1111">
        <v>73949701.780000001</v>
      </c>
      <c r="C25" s="1111">
        <v>61768944.460000001</v>
      </c>
      <c r="D25" s="566" t="s">
        <v>783</v>
      </c>
      <c r="E25" s="489">
        <f>SUM(E26:E33)</f>
        <v>51849250.039999999</v>
      </c>
      <c r="F25" s="1123">
        <f>SUM(F26:F33)</f>
        <v>62895156.719999999</v>
      </c>
      <c r="G25" s="468"/>
      <c r="I25" s="468"/>
    </row>
    <row r="26" spans="1:9" s="449" customFormat="1" ht="25.5" x14ac:dyDescent="0.2">
      <c r="A26" s="451" t="s">
        <v>784</v>
      </c>
      <c r="B26" s="1115">
        <f>SUM(B27:B29)</f>
        <v>0</v>
      </c>
      <c r="C26" s="1115">
        <f>SUM(C27:C29)</f>
        <v>0</v>
      </c>
      <c r="D26" s="477" t="s">
        <v>785</v>
      </c>
      <c r="E26" s="1124">
        <f>1144061.21+0.77</f>
        <v>1144061.98</v>
      </c>
      <c r="F26" s="1124">
        <f>3430755.08+0.77</f>
        <v>3430755.85</v>
      </c>
      <c r="G26" s="468"/>
      <c r="I26" s="468"/>
    </row>
    <row r="27" spans="1:9" s="449" customFormat="1" ht="18.75" customHeight="1" x14ac:dyDescent="0.2">
      <c r="A27" s="456" t="s">
        <v>786</v>
      </c>
      <c r="B27" s="1114">
        <v>0</v>
      </c>
      <c r="C27" s="1114">
        <v>0</v>
      </c>
      <c r="D27" s="478" t="s">
        <v>787</v>
      </c>
      <c r="E27" s="1124">
        <v>176806</v>
      </c>
      <c r="F27" s="1124">
        <v>210085</v>
      </c>
      <c r="G27" s="468"/>
      <c r="H27" s="468"/>
      <c r="I27" s="468"/>
    </row>
    <row r="28" spans="1:9" s="449" customFormat="1" ht="25.5" customHeight="1" x14ac:dyDescent="0.2">
      <c r="A28" s="456" t="s">
        <v>788</v>
      </c>
      <c r="B28" s="1114">
        <v>0</v>
      </c>
      <c r="C28" s="1114">
        <v>0</v>
      </c>
      <c r="D28" s="479" t="s">
        <v>789</v>
      </c>
      <c r="E28" s="1124">
        <v>1084221.55</v>
      </c>
      <c r="F28" s="1124">
        <v>1266159.04</v>
      </c>
      <c r="G28" s="468"/>
      <c r="I28" s="468"/>
    </row>
    <row r="29" spans="1:9" s="449" customFormat="1" ht="25.5" x14ac:dyDescent="0.2">
      <c r="A29" s="456" t="s">
        <v>790</v>
      </c>
      <c r="B29" s="1114">
        <v>0</v>
      </c>
      <c r="C29" s="1114">
        <v>0</v>
      </c>
      <c r="D29" s="480" t="s">
        <v>791</v>
      </c>
      <c r="E29" s="1124">
        <v>1841029.48</v>
      </c>
      <c r="F29" s="1124">
        <v>2149563.15</v>
      </c>
      <c r="G29" s="468"/>
      <c r="I29" s="468"/>
    </row>
    <row r="30" spans="1:9" s="449" customFormat="1" ht="22.5" customHeight="1" x14ac:dyDescent="0.2">
      <c r="A30" s="457" t="s">
        <v>792</v>
      </c>
      <c r="B30" s="1111">
        <v>0</v>
      </c>
      <c r="C30" s="1111">
        <v>0</v>
      </c>
      <c r="D30" s="480" t="s">
        <v>793</v>
      </c>
      <c r="E30" s="1124">
        <f>288577.33+5132.92+64778.39+1350610.23+390360+8361433.51</f>
        <v>10460892.379999999</v>
      </c>
      <c r="F30" s="1124">
        <f>8391.21+351.75+76446.72+1297707.14+499456+4821821.06</f>
        <v>6704173.879999999</v>
      </c>
      <c r="G30" s="468"/>
      <c r="I30" s="468"/>
    </row>
    <row r="31" spans="1:9" s="449" customFormat="1" ht="25.5" x14ac:dyDescent="0.2">
      <c r="A31" s="452" t="s">
        <v>794</v>
      </c>
      <c r="B31" s="1116">
        <v>0</v>
      </c>
      <c r="C31" s="1116">
        <v>0</v>
      </c>
      <c r="D31" s="481" t="s">
        <v>795</v>
      </c>
      <c r="E31" s="1124">
        <f>37131354.65</f>
        <v>37131354.649999999</v>
      </c>
      <c r="F31" s="1124">
        <f>280401.65+48826630.08</f>
        <v>49107031.729999997</v>
      </c>
      <c r="G31" s="468"/>
      <c r="H31" s="468"/>
      <c r="I31" s="468"/>
    </row>
    <row r="32" spans="1:9" s="449" customFormat="1" ht="24" x14ac:dyDescent="0.2">
      <c r="A32" s="458" t="s">
        <v>796</v>
      </c>
      <c r="B32" s="1117">
        <f>B33+B38+B44+B52</f>
        <v>48474821.300000004</v>
      </c>
      <c r="C32" s="1117">
        <f>C33+C38+C44+C52</f>
        <v>57302611.420000002</v>
      </c>
      <c r="D32" s="479" t="s">
        <v>797</v>
      </c>
      <c r="E32" s="1124">
        <v>10884</v>
      </c>
      <c r="F32" s="1124">
        <f>20000+7388.07</f>
        <v>27388.07</v>
      </c>
      <c r="G32" s="468"/>
      <c r="I32" s="468"/>
    </row>
    <row r="33" spans="1:9" s="449" customFormat="1" ht="27.75" customHeight="1" x14ac:dyDescent="0.2">
      <c r="A33" s="459" t="s">
        <v>798</v>
      </c>
      <c r="B33" s="1118">
        <f>SUM(B34:B37)</f>
        <v>38082.15</v>
      </c>
      <c r="C33" s="1118">
        <f>SUM(C34:C37)</f>
        <v>99587.26</v>
      </c>
      <c r="D33" s="480" t="s">
        <v>799</v>
      </c>
      <c r="E33" s="491">
        <v>0</v>
      </c>
      <c r="F33" s="1125">
        <v>0</v>
      </c>
      <c r="G33" s="468"/>
      <c r="I33" s="468"/>
    </row>
    <row r="34" spans="1:9" s="449" customFormat="1" ht="30" customHeight="1" x14ac:dyDescent="0.2">
      <c r="A34" s="460" t="s">
        <v>800</v>
      </c>
      <c r="B34" s="1114">
        <v>38082.15</v>
      </c>
      <c r="C34" s="1114">
        <v>99587.26</v>
      </c>
      <c r="D34" s="480" t="s">
        <v>801</v>
      </c>
      <c r="E34" s="490">
        <v>0</v>
      </c>
      <c r="F34" s="1124">
        <v>0</v>
      </c>
      <c r="G34" s="468"/>
      <c r="I34" s="468"/>
    </row>
    <row r="35" spans="1:9" s="449" customFormat="1" ht="18" customHeight="1" x14ac:dyDescent="0.2">
      <c r="A35" s="461" t="s">
        <v>802</v>
      </c>
      <c r="B35" s="1114">
        <v>0</v>
      </c>
      <c r="C35" s="1114">
        <v>0</v>
      </c>
      <c r="D35" s="480" t="s">
        <v>803</v>
      </c>
      <c r="E35" s="490">
        <v>0</v>
      </c>
      <c r="F35" s="1124">
        <v>0</v>
      </c>
      <c r="G35" s="468"/>
      <c r="I35" s="468"/>
    </row>
    <row r="36" spans="1:9" s="449" customFormat="1" ht="29.25" customHeight="1" x14ac:dyDescent="0.2">
      <c r="A36" s="462" t="s">
        <v>804</v>
      </c>
      <c r="B36" s="1114">
        <v>0</v>
      </c>
      <c r="C36" s="1114">
        <v>0</v>
      </c>
      <c r="D36" s="571" t="s">
        <v>805</v>
      </c>
      <c r="E36" s="1123">
        <v>4351209.5</v>
      </c>
      <c r="F36" s="1123">
        <v>52149147.259999998</v>
      </c>
      <c r="G36" s="468"/>
      <c r="I36" s="468"/>
    </row>
    <row r="37" spans="1:9" s="449" customFormat="1" ht="18" customHeight="1" x14ac:dyDescent="0.2">
      <c r="A37" s="463" t="s">
        <v>806</v>
      </c>
      <c r="B37" s="1114">
        <v>0</v>
      </c>
      <c r="C37" s="1114">
        <v>0</v>
      </c>
      <c r="D37" s="571" t="s">
        <v>807</v>
      </c>
      <c r="E37" s="492">
        <f>E38+E39</f>
        <v>3222192</v>
      </c>
      <c r="F37" s="1126">
        <f>F38+F39</f>
        <v>3393035.7</v>
      </c>
      <c r="G37" s="468"/>
      <c r="I37" s="468"/>
    </row>
    <row r="38" spans="1:9" s="449" customFormat="1" ht="24" x14ac:dyDescent="0.2">
      <c r="A38" s="464" t="s">
        <v>808</v>
      </c>
      <c r="B38" s="1119">
        <f>SUM(B39:B43)</f>
        <v>11201763.76</v>
      </c>
      <c r="C38" s="1119">
        <f>SUM(C39:C43)</f>
        <v>7963486.2300000004</v>
      </c>
      <c r="D38" s="571" t="s">
        <v>809</v>
      </c>
      <c r="E38" s="1123">
        <v>3222192</v>
      </c>
      <c r="F38" s="1123">
        <v>3393035.7</v>
      </c>
      <c r="G38" s="468"/>
      <c r="I38" s="468"/>
    </row>
    <row r="39" spans="1:9" s="449" customFormat="1" ht="18.75" customHeight="1" x14ac:dyDescent="0.2">
      <c r="A39" s="463" t="s">
        <v>810</v>
      </c>
      <c r="B39" s="1114">
        <f>2833.58+422773.47-422773.47</f>
        <v>2833.5800000000163</v>
      </c>
      <c r="C39" s="1114">
        <f>680.49+444988.33-444988.33</f>
        <v>680.48999999999069</v>
      </c>
      <c r="D39" s="571" t="s">
        <v>811</v>
      </c>
      <c r="E39" s="493">
        <v>0</v>
      </c>
      <c r="F39" s="1127">
        <v>0</v>
      </c>
      <c r="G39" s="468"/>
      <c r="I39" s="468"/>
    </row>
    <row r="40" spans="1:9" s="449" customFormat="1" ht="18.75" customHeight="1" x14ac:dyDescent="0.2">
      <c r="A40" s="463" t="s">
        <v>812</v>
      </c>
      <c r="B40" s="1114">
        <f>40676.02</f>
        <v>40676.019999999997</v>
      </c>
      <c r="C40" s="1114">
        <v>57083.360000000001</v>
      </c>
      <c r="D40" s="572"/>
      <c r="E40" s="573"/>
      <c r="F40" s="573"/>
      <c r="G40" s="468"/>
      <c r="I40" s="468"/>
    </row>
    <row r="41" spans="1:9" s="449" customFormat="1" ht="24" x14ac:dyDescent="0.2">
      <c r="A41" s="463" t="s">
        <v>813</v>
      </c>
      <c r="B41" s="1114">
        <v>0</v>
      </c>
      <c r="C41" s="1114">
        <v>0</v>
      </c>
      <c r="D41" s="572"/>
      <c r="E41" s="573"/>
      <c r="F41" s="573"/>
      <c r="G41" s="468"/>
      <c r="I41" s="468"/>
    </row>
    <row r="42" spans="1:9" s="449" customFormat="1" ht="19.5" customHeight="1" x14ac:dyDescent="0.2">
      <c r="A42" s="463" t="s">
        <v>814</v>
      </c>
      <c r="B42" s="1114">
        <f>9513.96+269766.33+20200+54220.18+9021780.66+638.23-10193.39-8975729.75-638.23+10768696.17</f>
        <v>11158254.16</v>
      </c>
      <c r="C42" s="1114">
        <f>127503.23+10907.97+437006.04+638.23-10907.97-437006.04-638.23+7778219.15</f>
        <v>7905722.3800000008</v>
      </c>
      <c r="D42" s="572"/>
      <c r="E42" s="573"/>
      <c r="F42" s="573"/>
      <c r="G42" s="468"/>
      <c r="I42" s="468"/>
    </row>
    <row r="43" spans="1:9" s="449" customFormat="1" ht="24" x14ac:dyDescent="0.2">
      <c r="A43" s="460" t="s">
        <v>815</v>
      </c>
      <c r="B43" s="1114">
        <v>0</v>
      </c>
      <c r="C43" s="1114">
        <v>0</v>
      </c>
      <c r="D43" s="572"/>
      <c r="E43" s="573"/>
      <c r="F43" s="573"/>
      <c r="G43" s="468"/>
      <c r="H43" s="468"/>
      <c r="I43" s="468"/>
    </row>
    <row r="44" spans="1:9" s="449" customFormat="1" ht="18" customHeight="1" x14ac:dyDescent="0.2">
      <c r="A44" s="465" t="s">
        <v>816</v>
      </c>
      <c r="B44" s="1120">
        <f>SUM(B45:B51)</f>
        <v>37194777.539999999</v>
      </c>
      <c r="C44" s="1120">
        <f>SUM(C45:C51)</f>
        <v>49194649.049999997</v>
      </c>
      <c r="D44" s="574"/>
      <c r="E44" s="493"/>
      <c r="F44" s="493"/>
      <c r="G44" s="468"/>
      <c r="I44" s="468"/>
    </row>
    <row r="45" spans="1:9" s="449" customFormat="1" ht="18.75" customHeight="1" x14ac:dyDescent="0.2">
      <c r="A45" s="463" t="s">
        <v>817</v>
      </c>
      <c r="B45" s="1114">
        <v>0</v>
      </c>
      <c r="C45" s="1114">
        <v>0</v>
      </c>
      <c r="D45" s="481"/>
      <c r="E45" s="575"/>
      <c r="F45" s="575"/>
      <c r="G45" s="468"/>
      <c r="I45" s="468"/>
    </row>
    <row r="46" spans="1:9" s="449" customFormat="1" ht="25.5" customHeight="1" x14ac:dyDescent="0.2">
      <c r="A46" s="463" t="s">
        <v>818</v>
      </c>
      <c r="B46" s="1114">
        <f>18811+26056.86+4.96+0.07</f>
        <v>44872.89</v>
      </c>
      <c r="C46" s="1114">
        <f>20000+43607.32</f>
        <v>63607.32</v>
      </c>
      <c r="D46" s="481"/>
      <c r="E46" s="575"/>
      <c r="F46" s="575"/>
      <c r="G46" s="468"/>
      <c r="I46" s="468"/>
    </row>
    <row r="47" spans="1:9" s="449" customFormat="1" ht="25.5" customHeight="1" x14ac:dyDescent="0.2">
      <c r="A47" s="463" t="s">
        <v>819</v>
      </c>
      <c r="B47" s="1114">
        <v>0</v>
      </c>
      <c r="C47" s="1114">
        <v>0</v>
      </c>
      <c r="D47" s="481"/>
      <c r="E47" s="575"/>
      <c r="F47" s="575"/>
      <c r="G47" s="468"/>
      <c r="I47" s="468"/>
    </row>
    <row r="48" spans="1:9" s="449" customFormat="1" ht="18.75" customHeight="1" x14ac:dyDescent="0.2">
      <c r="A48" s="463" t="s">
        <v>820</v>
      </c>
      <c r="B48" s="1114">
        <f>37131354.65+18550</f>
        <v>37149904.649999999</v>
      </c>
      <c r="C48" s="1114">
        <f>49107031.73+24010</f>
        <v>49131041.729999997</v>
      </c>
      <c r="D48" s="481"/>
      <c r="E48" s="575"/>
      <c r="F48" s="575"/>
      <c r="G48" s="468"/>
      <c r="I48" s="468"/>
    </row>
    <row r="49" spans="1:11" s="449" customFormat="1" ht="18.75" customHeight="1" x14ac:dyDescent="0.2">
      <c r="A49" s="463" t="s">
        <v>821</v>
      </c>
      <c r="B49" s="1121">
        <v>0</v>
      </c>
      <c r="C49" s="1121">
        <v>0</v>
      </c>
      <c r="D49" s="481"/>
      <c r="E49" s="575"/>
      <c r="F49" s="575"/>
      <c r="G49" s="468"/>
      <c r="I49" s="468"/>
    </row>
    <row r="50" spans="1:11" s="466" customFormat="1" ht="18.75" customHeight="1" x14ac:dyDescent="0.2">
      <c r="A50" s="463" t="s">
        <v>822</v>
      </c>
      <c r="B50" s="1114">
        <v>0</v>
      </c>
      <c r="C50" s="1114">
        <v>0</v>
      </c>
      <c r="D50" s="481"/>
      <c r="E50" s="575"/>
      <c r="F50" s="575"/>
      <c r="G50" s="494"/>
      <c r="I50" s="468"/>
    </row>
    <row r="51" spans="1:11" s="466" customFormat="1" ht="18.75" customHeight="1" x14ac:dyDescent="0.2">
      <c r="A51" s="463" t="s">
        <v>823</v>
      </c>
      <c r="B51" s="1114">
        <v>0</v>
      </c>
      <c r="C51" s="1114">
        <v>0</v>
      </c>
      <c r="D51" s="480"/>
      <c r="E51" s="576"/>
      <c r="F51" s="576"/>
      <c r="G51" s="494"/>
      <c r="I51" s="468"/>
    </row>
    <row r="52" spans="1:11" s="449" customFormat="1" ht="20.25" customHeight="1" thickBot="1" x14ac:dyDescent="0.25">
      <c r="A52" s="464" t="s">
        <v>824</v>
      </c>
      <c r="B52" s="1111">
        <v>40197.85</v>
      </c>
      <c r="C52" s="1111">
        <v>44888.88</v>
      </c>
      <c r="D52" s="577"/>
      <c r="E52" s="578"/>
      <c r="F52" s="578"/>
      <c r="G52" s="468"/>
      <c r="H52" s="468"/>
      <c r="I52" s="468"/>
      <c r="J52" s="468"/>
    </row>
    <row r="53" spans="1:11" s="449" customFormat="1" ht="26.25" customHeight="1" thickBot="1" x14ac:dyDescent="0.25">
      <c r="A53" s="467" t="s">
        <v>825</v>
      </c>
      <c r="B53" s="482">
        <f>B13+B32</f>
        <v>894154170.30999994</v>
      </c>
      <c r="C53" s="482">
        <f>C13+C32</f>
        <v>1131461435.2</v>
      </c>
      <c r="D53" s="483" t="s">
        <v>826</v>
      </c>
      <c r="E53" s="516">
        <f>E13+E20+E21+E23</f>
        <v>894154170.30999994</v>
      </c>
      <c r="F53" s="484">
        <f>F13+F20+F21+F23</f>
        <v>1131461435.2</v>
      </c>
      <c r="G53" s="468"/>
      <c r="H53" s="468"/>
      <c r="I53" s="468">
        <f>F53-C53</f>
        <v>0</v>
      </c>
      <c r="J53" s="468"/>
      <c r="K53" s="468"/>
    </row>
    <row r="54" spans="1:11" s="470" customFormat="1" ht="15.75" customHeight="1" x14ac:dyDescent="0.2">
      <c r="A54" s="469"/>
      <c r="B54" s="505"/>
      <c r="C54" s="469"/>
      <c r="D54" s="469"/>
      <c r="E54" s="505"/>
      <c r="F54" s="469"/>
      <c r="G54" s="495"/>
    </row>
    <row r="55" spans="1:11" s="470" customFormat="1" ht="106.5" customHeight="1" x14ac:dyDescent="0.2">
      <c r="A55" s="471"/>
      <c r="B55" s="506"/>
      <c r="C55" s="472"/>
      <c r="D55" s="473"/>
      <c r="E55" s="517"/>
      <c r="F55" s="471"/>
      <c r="G55" s="495"/>
    </row>
    <row r="56" spans="1:11" ht="15" customHeight="1" x14ac:dyDescent="0.2">
      <c r="A56" s="474" t="s">
        <v>827</v>
      </c>
      <c r="B56" s="507"/>
      <c r="C56" s="579" t="s">
        <v>567</v>
      </c>
      <c r="D56" s="429"/>
      <c r="E56" s="1311" t="s">
        <v>828</v>
      </c>
      <c r="F56" s="1312"/>
    </row>
    <row r="57" spans="1:11" ht="15.75" customHeight="1" x14ac:dyDescent="0.2">
      <c r="C57" s="429"/>
      <c r="D57" s="429"/>
      <c r="F57" s="429"/>
    </row>
    <row r="58" spans="1:11" ht="16.5" customHeight="1" x14ac:dyDescent="0.2">
      <c r="C58" s="429"/>
      <c r="D58" s="429"/>
      <c r="F58" s="429"/>
    </row>
    <row r="59" spans="1:11" ht="16.5" customHeight="1" x14ac:dyDescent="0.2">
      <c r="C59" s="429"/>
      <c r="D59" s="429"/>
      <c r="F59" s="429"/>
    </row>
    <row r="60" spans="1:11" ht="25.5" customHeight="1" x14ac:dyDescent="0.2">
      <c r="C60" s="429"/>
      <c r="D60" s="429"/>
      <c r="F60" s="429"/>
    </row>
    <row r="61" spans="1:11" x14ac:dyDescent="0.2">
      <c r="C61" s="429"/>
      <c r="D61" s="429"/>
      <c r="F61" s="429"/>
    </row>
    <row r="62" spans="1:11" x14ac:dyDescent="0.2">
      <c r="C62" s="429"/>
      <c r="D62" s="429"/>
      <c r="F62" s="429"/>
    </row>
    <row r="63" spans="1:11" x14ac:dyDescent="0.2">
      <c r="C63" s="429"/>
      <c r="D63" s="429"/>
      <c r="F63" s="429"/>
    </row>
    <row r="64" spans="1:11" x14ac:dyDescent="0.2">
      <c r="C64" s="429"/>
      <c r="D64" s="429"/>
      <c r="F64" s="429"/>
    </row>
    <row r="65" spans="1:9" x14ac:dyDescent="0.2">
      <c r="A65" s="474"/>
      <c r="B65" s="507"/>
      <c r="C65" s="475"/>
      <c r="D65" s="429"/>
      <c r="E65" s="1311"/>
      <c r="F65" s="1311"/>
    </row>
    <row r="67" spans="1:9" x14ac:dyDescent="0.2">
      <c r="C67" s="429"/>
      <c r="D67" s="429"/>
      <c r="F67" s="429"/>
    </row>
    <row r="68" spans="1:9" x14ac:dyDescent="0.2">
      <c r="C68" s="429"/>
      <c r="D68" s="429"/>
      <c r="F68" s="429"/>
    </row>
    <row r="69" spans="1:9" x14ac:dyDescent="0.2">
      <c r="C69" s="429"/>
      <c r="D69" s="429"/>
      <c r="F69" s="429"/>
    </row>
    <row r="70" spans="1:9" x14ac:dyDescent="0.2">
      <c r="C70" s="429"/>
      <c r="D70" s="429"/>
      <c r="F70" s="429"/>
    </row>
    <row r="71" spans="1:9" x14ac:dyDescent="0.2">
      <c r="C71" s="429"/>
      <c r="D71" s="429"/>
      <c r="F71" s="429"/>
    </row>
    <row r="72" spans="1:9" x14ac:dyDescent="0.2">
      <c r="C72" s="429"/>
      <c r="D72" s="429"/>
      <c r="F72" s="429"/>
    </row>
    <row r="73" spans="1:9" x14ac:dyDescent="0.2">
      <c r="C73" s="429"/>
      <c r="D73" s="429"/>
      <c r="F73" s="429"/>
    </row>
    <row r="74" spans="1:9" x14ac:dyDescent="0.2">
      <c r="C74" s="429"/>
      <c r="D74" s="429"/>
      <c r="F74" s="429"/>
    </row>
    <row r="75" spans="1:9" x14ac:dyDescent="0.2">
      <c r="C75" s="429"/>
      <c r="D75" s="429"/>
      <c r="F75" s="429"/>
      <c r="I75" s="476"/>
    </row>
    <row r="76" spans="1:9" x14ac:dyDescent="0.2">
      <c r="C76" s="429"/>
      <c r="D76" s="429"/>
      <c r="F76" s="429"/>
      <c r="I76" s="476"/>
    </row>
    <row r="77" spans="1:9" x14ac:dyDescent="0.2">
      <c r="C77" s="429"/>
      <c r="D77" s="429"/>
      <c r="F77" s="429"/>
      <c r="I77" s="476"/>
    </row>
    <row r="78" spans="1:9" x14ac:dyDescent="0.2">
      <c r="C78" s="429"/>
      <c r="D78" s="429"/>
      <c r="F78" s="429"/>
      <c r="I78" s="476"/>
    </row>
    <row r="79" spans="1:9" x14ac:dyDescent="0.2">
      <c r="C79" s="429"/>
      <c r="D79" s="429"/>
      <c r="F79" s="429"/>
      <c r="I79" s="476"/>
    </row>
    <row r="80" spans="1:9" x14ac:dyDescent="0.2">
      <c r="C80" s="429"/>
      <c r="D80" s="429"/>
      <c r="F80" s="429"/>
    </row>
    <row r="81" spans="3:6" x14ac:dyDescent="0.2">
      <c r="C81" s="429"/>
      <c r="D81" s="429"/>
      <c r="F81" s="429"/>
    </row>
    <row r="82" spans="3:6" x14ac:dyDescent="0.2">
      <c r="C82" s="429"/>
      <c r="D82" s="429"/>
      <c r="F82" s="429"/>
    </row>
    <row r="83" spans="3:6" x14ac:dyDescent="0.2">
      <c r="C83" s="429"/>
      <c r="D83" s="429"/>
      <c r="F83" s="429"/>
    </row>
    <row r="84" spans="3:6" x14ac:dyDescent="0.2">
      <c r="C84" s="429"/>
      <c r="D84" s="429"/>
      <c r="F84" s="429"/>
    </row>
    <row r="85" spans="3:6" x14ac:dyDescent="0.2">
      <c r="C85" s="429"/>
      <c r="D85" s="429"/>
      <c r="F85" s="429"/>
    </row>
    <row r="86" spans="3:6" x14ac:dyDescent="0.2">
      <c r="C86" s="429"/>
      <c r="D86" s="429"/>
      <c r="F86" s="429"/>
    </row>
    <row r="87" spans="3:6" x14ac:dyDescent="0.2">
      <c r="C87" s="429"/>
      <c r="D87" s="429"/>
      <c r="F87" s="429"/>
    </row>
    <row r="88" spans="3:6" x14ac:dyDescent="0.2">
      <c r="C88" s="429"/>
      <c r="D88" s="429"/>
      <c r="F88" s="429"/>
    </row>
    <row r="89" spans="3:6" x14ac:dyDescent="0.2">
      <c r="C89" s="429"/>
      <c r="D89" s="429"/>
      <c r="F89" s="429"/>
    </row>
    <row r="90" spans="3:6" x14ac:dyDescent="0.2">
      <c r="C90" s="429"/>
      <c r="D90" s="429"/>
      <c r="F90" s="429"/>
    </row>
    <row r="91" spans="3:6" x14ac:dyDescent="0.2">
      <c r="C91" s="429"/>
      <c r="D91" s="429"/>
      <c r="F91" s="429"/>
    </row>
    <row r="92" spans="3:6" x14ac:dyDescent="0.2">
      <c r="C92" s="429"/>
      <c r="D92" s="429"/>
      <c r="F92" s="429"/>
    </row>
    <row r="93" spans="3:6" x14ac:dyDescent="0.2">
      <c r="C93" s="429"/>
      <c r="D93" s="429"/>
      <c r="F93" s="429"/>
    </row>
    <row r="94" spans="3:6" x14ac:dyDescent="0.2">
      <c r="C94" s="429"/>
      <c r="D94" s="429"/>
      <c r="F94" s="429"/>
    </row>
    <row r="95" spans="3:6" x14ac:dyDescent="0.2">
      <c r="C95" s="429"/>
      <c r="D95" s="429"/>
      <c r="F95" s="429"/>
    </row>
    <row r="96" spans="3:6" x14ac:dyDescent="0.2">
      <c r="C96" s="429"/>
      <c r="D96" s="429"/>
      <c r="F96" s="429"/>
    </row>
    <row r="97" spans="3:6" x14ac:dyDescent="0.2">
      <c r="C97" s="429"/>
      <c r="D97" s="429"/>
      <c r="F97" s="429"/>
    </row>
    <row r="98" spans="3:6" x14ac:dyDescent="0.2">
      <c r="C98" s="429"/>
      <c r="D98" s="429"/>
      <c r="F98" s="429"/>
    </row>
    <row r="99" spans="3:6" x14ac:dyDescent="0.2">
      <c r="C99" s="429"/>
      <c r="D99" s="429"/>
      <c r="F99" s="429"/>
    </row>
    <row r="100" spans="3:6" x14ac:dyDescent="0.2">
      <c r="C100" s="429"/>
      <c r="D100" s="429"/>
      <c r="F100" s="429"/>
    </row>
    <row r="101" spans="3:6" x14ac:dyDescent="0.2">
      <c r="C101" s="429"/>
      <c r="D101" s="429"/>
      <c r="F101" s="429"/>
    </row>
    <row r="102" spans="3:6" x14ac:dyDescent="0.2">
      <c r="C102" s="429"/>
      <c r="D102" s="429"/>
      <c r="F102" s="429"/>
    </row>
    <row r="103" spans="3:6" x14ac:dyDescent="0.2">
      <c r="C103" s="429"/>
      <c r="D103" s="429"/>
      <c r="F103" s="429"/>
    </row>
    <row r="104" spans="3:6" x14ac:dyDescent="0.2">
      <c r="C104" s="429"/>
      <c r="D104" s="429"/>
      <c r="F104" s="429"/>
    </row>
    <row r="105" spans="3:6" x14ac:dyDescent="0.2">
      <c r="C105" s="429"/>
      <c r="D105" s="429"/>
      <c r="F105" s="429"/>
    </row>
    <row r="106" spans="3:6" x14ac:dyDescent="0.2">
      <c r="C106" s="429"/>
      <c r="D106" s="429"/>
      <c r="F106" s="429"/>
    </row>
    <row r="107" spans="3:6" x14ac:dyDescent="0.2">
      <c r="C107" s="429"/>
      <c r="D107" s="429"/>
      <c r="F107" s="429"/>
    </row>
    <row r="108" spans="3:6" x14ac:dyDescent="0.2">
      <c r="C108" s="429"/>
      <c r="D108" s="429"/>
      <c r="F108" s="429"/>
    </row>
    <row r="109" spans="3:6" x14ac:dyDescent="0.2">
      <c r="C109" s="429"/>
      <c r="D109" s="429"/>
      <c r="F109" s="429"/>
    </row>
    <row r="110" spans="3:6" x14ac:dyDescent="0.2">
      <c r="C110" s="429"/>
      <c r="D110" s="429"/>
      <c r="F110" s="429"/>
    </row>
    <row r="111" spans="3:6" x14ac:dyDescent="0.2">
      <c r="C111" s="429"/>
      <c r="D111" s="429"/>
      <c r="F111" s="429"/>
    </row>
    <row r="112" spans="3:6" x14ac:dyDescent="0.2">
      <c r="C112" s="429"/>
      <c r="D112" s="429"/>
      <c r="F112" s="429"/>
    </row>
    <row r="113" spans="3:6" x14ac:dyDescent="0.2">
      <c r="C113" s="429"/>
      <c r="D113" s="429"/>
      <c r="F113" s="429"/>
    </row>
    <row r="114" spans="3:6" x14ac:dyDescent="0.2">
      <c r="C114" s="429"/>
      <c r="D114" s="429"/>
      <c r="F114" s="429"/>
    </row>
    <row r="115" spans="3:6" x14ac:dyDescent="0.2">
      <c r="C115" s="429"/>
      <c r="D115" s="429"/>
      <c r="F115" s="429"/>
    </row>
    <row r="116" spans="3:6" x14ac:dyDescent="0.2">
      <c r="C116" s="429"/>
      <c r="D116" s="429"/>
      <c r="F116" s="429"/>
    </row>
    <row r="117" spans="3:6" x14ac:dyDescent="0.2">
      <c r="C117" s="429"/>
      <c r="D117" s="429"/>
      <c r="F117" s="429"/>
    </row>
    <row r="118" spans="3:6" x14ac:dyDescent="0.2">
      <c r="C118" s="429"/>
      <c r="D118" s="429"/>
      <c r="F118" s="429"/>
    </row>
    <row r="119" spans="3:6" x14ac:dyDescent="0.2">
      <c r="C119" s="429"/>
      <c r="D119" s="429"/>
      <c r="F119" s="429"/>
    </row>
    <row r="120" spans="3:6" x14ac:dyDescent="0.2">
      <c r="C120" s="429"/>
      <c r="D120" s="429"/>
      <c r="F120" s="429"/>
    </row>
    <row r="121" spans="3:6" x14ac:dyDescent="0.2">
      <c r="C121" s="429"/>
      <c r="D121" s="429"/>
      <c r="F121" s="429"/>
    </row>
    <row r="122" spans="3:6" x14ac:dyDescent="0.2">
      <c r="C122" s="429"/>
      <c r="D122" s="429"/>
      <c r="F122" s="429"/>
    </row>
    <row r="123" spans="3:6" x14ac:dyDescent="0.2">
      <c r="C123" s="429"/>
      <c r="D123" s="429"/>
      <c r="F123" s="429"/>
    </row>
    <row r="124" spans="3:6" x14ac:dyDescent="0.2">
      <c r="C124" s="429"/>
      <c r="D124" s="429"/>
      <c r="F124" s="429"/>
    </row>
    <row r="125" spans="3:6" x14ac:dyDescent="0.2">
      <c r="C125" s="429"/>
      <c r="D125" s="429"/>
      <c r="F125" s="429"/>
    </row>
    <row r="126" spans="3:6" x14ac:dyDescent="0.2">
      <c r="C126" s="429"/>
      <c r="D126" s="429"/>
      <c r="F126" s="429"/>
    </row>
    <row r="127" spans="3:6" x14ac:dyDescent="0.2">
      <c r="C127" s="429"/>
      <c r="D127" s="429"/>
      <c r="F127" s="429"/>
    </row>
    <row r="128" spans="3:6" x14ac:dyDescent="0.2">
      <c r="C128" s="429"/>
      <c r="D128" s="429"/>
      <c r="F128" s="429"/>
    </row>
    <row r="129" spans="3:6" x14ac:dyDescent="0.2">
      <c r="C129" s="429"/>
      <c r="D129" s="429"/>
      <c r="F129" s="429"/>
    </row>
    <row r="130" spans="3:6" x14ac:dyDescent="0.2">
      <c r="C130" s="429"/>
      <c r="D130" s="429"/>
      <c r="F130" s="429"/>
    </row>
    <row r="131" spans="3:6" x14ac:dyDescent="0.2">
      <c r="C131" s="429"/>
      <c r="D131" s="429"/>
      <c r="F131" s="429"/>
    </row>
    <row r="132" spans="3:6" x14ac:dyDescent="0.2">
      <c r="C132" s="429"/>
      <c r="D132" s="429"/>
      <c r="F132" s="429"/>
    </row>
    <row r="133" spans="3:6" x14ac:dyDescent="0.2">
      <c r="C133" s="429"/>
      <c r="D133" s="429"/>
      <c r="F133" s="429"/>
    </row>
    <row r="134" spans="3:6" x14ac:dyDescent="0.2">
      <c r="C134" s="429"/>
      <c r="D134" s="429"/>
      <c r="F134" s="429"/>
    </row>
    <row r="135" spans="3:6" x14ac:dyDescent="0.2">
      <c r="C135" s="429"/>
      <c r="D135" s="429"/>
      <c r="F135" s="429"/>
    </row>
    <row r="136" spans="3:6" x14ac:dyDescent="0.2">
      <c r="C136" s="429"/>
      <c r="D136" s="429"/>
      <c r="F136" s="429"/>
    </row>
    <row r="137" spans="3:6" x14ac:dyDescent="0.2">
      <c r="C137" s="429"/>
      <c r="D137" s="429"/>
      <c r="F137" s="429"/>
    </row>
    <row r="138" spans="3:6" x14ac:dyDescent="0.2">
      <c r="C138" s="429"/>
      <c r="D138" s="429"/>
      <c r="F138" s="429"/>
    </row>
    <row r="139" spans="3:6" x14ac:dyDescent="0.2">
      <c r="C139" s="429"/>
      <c r="D139" s="429"/>
      <c r="F139" s="429"/>
    </row>
    <row r="140" spans="3:6" x14ac:dyDescent="0.2">
      <c r="C140" s="429"/>
      <c r="D140" s="429"/>
      <c r="F140" s="429"/>
    </row>
    <row r="141" spans="3:6" x14ac:dyDescent="0.2">
      <c r="C141" s="429"/>
      <c r="D141" s="429"/>
      <c r="F141" s="429"/>
    </row>
    <row r="142" spans="3:6" x14ac:dyDescent="0.2">
      <c r="C142" s="429"/>
      <c r="D142" s="429"/>
      <c r="F142" s="429"/>
    </row>
    <row r="143" spans="3:6" x14ac:dyDescent="0.2">
      <c r="C143" s="429"/>
      <c r="D143" s="429"/>
      <c r="F143" s="429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1"/>
  <sheetViews>
    <sheetView topLeftCell="A42" workbookViewId="0">
      <selection activeCell="I63" sqref="I63"/>
    </sheetView>
  </sheetViews>
  <sheetFormatPr defaultColWidth="9.140625" defaultRowHeight="15" x14ac:dyDescent="0.2"/>
  <cols>
    <col min="1" max="1" width="5.7109375" style="154" customWidth="1"/>
    <col min="2" max="3" width="11.85546875" style="154" customWidth="1"/>
    <col min="4" max="4" width="28.7109375" style="154" customWidth="1"/>
    <col min="5" max="5" width="14" style="154" customWidth="1"/>
    <col min="6" max="6" width="17.140625" style="154" customWidth="1"/>
    <col min="7" max="7" width="19" style="154" customWidth="1"/>
    <col min="8" max="8" width="9.140625" style="154"/>
    <col min="9" max="9" width="13.28515625" style="154" bestFit="1" customWidth="1"/>
    <col min="10" max="10" width="12.42578125" style="154" bestFit="1" customWidth="1"/>
    <col min="11" max="11" width="11.85546875" style="154" customWidth="1"/>
    <col min="12" max="12" width="23.140625" style="154" customWidth="1"/>
    <col min="13" max="13" width="12.7109375" style="154" bestFit="1" customWidth="1"/>
    <col min="14" max="14" width="12" style="154" bestFit="1" customWidth="1"/>
    <col min="15" max="16" width="13.28515625" style="154" bestFit="1" customWidth="1"/>
    <col min="17" max="16384" width="9.140625" style="154"/>
  </cols>
  <sheetData>
    <row r="1" spans="1:7" s="149" customFormat="1" x14ac:dyDescent="0.25">
      <c r="F1" s="150" t="s">
        <v>500</v>
      </c>
    </row>
    <row r="2" spans="1:7" s="149" customFormat="1" x14ac:dyDescent="0.25">
      <c r="F2" s="1667" t="s">
        <v>508</v>
      </c>
      <c r="G2" s="1668"/>
    </row>
    <row r="3" spans="1:7" s="532" customFormat="1" x14ac:dyDescent="0.2">
      <c r="A3" s="708" t="s">
        <v>300</v>
      </c>
      <c r="B3" s="562"/>
      <c r="C3" s="531"/>
      <c r="D3" s="531"/>
    </row>
    <row r="4" spans="1:7" s="533" customFormat="1" x14ac:dyDescent="0.2">
      <c r="A4" s="1680" t="s">
        <v>288</v>
      </c>
      <c r="B4" s="1680"/>
      <c r="C4" s="560"/>
      <c r="D4" s="560"/>
    </row>
    <row r="5" spans="1:7" s="533" customFormat="1" x14ac:dyDescent="0.2">
      <c r="A5" s="1677" t="s">
        <v>289</v>
      </c>
      <c r="B5" s="1677"/>
      <c r="C5" s="560"/>
      <c r="D5" s="560"/>
    </row>
    <row r="6" spans="1:7" s="151" customFormat="1" x14ac:dyDescent="0.2">
      <c r="F6" s="152"/>
      <c r="G6" s="153"/>
    </row>
    <row r="7" spans="1:7" ht="18.75" x14ac:dyDescent="0.2">
      <c r="A7" s="1712" t="s">
        <v>264</v>
      </c>
      <c r="B7" s="1713"/>
      <c r="C7" s="1713"/>
      <c r="D7" s="1713"/>
      <c r="E7" s="1713"/>
      <c r="F7" s="1713"/>
      <c r="G7" s="1713"/>
    </row>
    <row r="8" spans="1:7" x14ac:dyDescent="0.2">
      <c r="G8" s="155"/>
    </row>
    <row r="9" spans="1:7" x14ac:dyDescent="0.2">
      <c r="A9" s="1714" t="s">
        <v>1105</v>
      </c>
      <c r="B9" s="1714"/>
      <c r="C9" s="1714"/>
      <c r="D9" s="1714"/>
      <c r="E9" s="1714"/>
      <c r="F9" s="1714"/>
      <c r="G9" s="1714"/>
    </row>
    <row r="10" spans="1:7" ht="15.75" thickBot="1" x14ac:dyDescent="0.25"/>
    <row r="11" spans="1:7" x14ac:dyDescent="0.2">
      <c r="A11" s="1715" t="s">
        <v>216</v>
      </c>
      <c r="B11" s="1717" t="s">
        <v>217</v>
      </c>
      <c r="C11" s="1718"/>
      <c r="D11" s="1718"/>
      <c r="E11" s="1715" t="s">
        <v>218</v>
      </c>
      <c r="F11" s="1717" t="s">
        <v>219</v>
      </c>
      <c r="G11" s="1715" t="s">
        <v>220</v>
      </c>
    </row>
    <row r="12" spans="1:7" ht="26.45" customHeight="1" thickBot="1" x14ac:dyDescent="0.25">
      <c r="A12" s="1716"/>
      <c r="B12" s="1719"/>
      <c r="C12" s="1720"/>
      <c r="D12" s="1720"/>
      <c r="E12" s="1716"/>
      <c r="F12" s="1719"/>
      <c r="G12" s="1721"/>
    </row>
    <row r="13" spans="1:7" x14ac:dyDescent="0.2">
      <c r="A13" s="156" t="s">
        <v>221</v>
      </c>
      <c r="B13" s="147" t="s">
        <v>917</v>
      </c>
      <c r="C13" s="148"/>
      <c r="D13" s="148"/>
      <c r="E13" s="148"/>
      <c r="F13" s="157"/>
      <c r="G13" s="387"/>
    </row>
    <row r="14" spans="1:7" ht="15.75" thickBot="1" x14ac:dyDescent="0.25">
      <c r="A14" s="158"/>
      <c r="B14" s="159" t="s">
        <v>222</v>
      </c>
      <c r="C14" s="160"/>
      <c r="D14" s="160"/>
      <c r="E14" s="160"/>
      <c r="F14" s="160"/>
      <c r="G14" s="520"/>
    </row>
    <row r="15" spans="1:7" x14ac:dyDescent="0.2">
      <c r="A15" s="1722">
        <v>201</v>
      </c>
      <c r="B15" s="161" t="s">
        <v>200</v>
      </c>
      <c r="E15" s="1741">
        <v>2024</v>
      </c>
      <c r="F15" s="1733">
        <v>3430755.08</v>
      </c>
      <c r="G15" s="1737">
        <v>2025</v>
      </c>
    </row>
    <row r="16" spans="1:7" x14ac:dyDescent="0.2">
      <c r="A16" s="1708"/>
      <c r="B16" s="162" t="s">
        <v>918</v>
      </c>
      <c r="C16" s="163"/>
      <c r="D16" s="163"/>
      <c r="E16" s="1740"/>
      <c r="F16" s="1734"/>
      <c r="G16" s="1738"/>
    </row>
    <row r="17" spans="1:7" x14ac:dyDescent="0.2">
      <c r="A17" s="1722">
        <v>202</v>
      </c>
      <c r="B17" s="161" t="s">
        <v>201</v>
      </c>
      <c r="E17" s="1739">
        <v>2024</v>
      </c>
      <c r="F17" s="1735">
        <v>0.77</v>
      </c>
      <c r="G17" s="1737">
        <v>2025</v>
      </c>
    </row>
    <row r="18" spans="1:7" x14ac:dyDescent="0.2">
      <c r="A18" s="1708"/>
      <c r="B18" s="162" t="s">
        <v>918</v>
      </c>
      <c r="C18" s="163"/>
      <c r="D18" s="163"/>
      <c r="E18" s="1740"/>
      <c r="F18" s="1734"/>
      <c r="G18" s="1738"/>
    </row>
    <row r="19" spans="1:7" x14ac:dyDescent="0.2">
      <c r="A19" s="1707">
        <v>221</v>
      </c>
      <c r="B19" s="164" t="s">
        <v>202</v>
      </c>
      <c r="C19" s="165"/>
      <c r="D19" s="165"/>
      <c r="E19" s="1739">
        <v>2024</v>
      </c>
      <c r="F19" s="1735">
        <f>1064619.4+728.84+1390199.25</f>
        <v>2455547.4900000002</v>
      </c>
      <c r="G19" s="1737">
        <v>2025</v>
      </c>
    </row>
    <row r="20" spans="1:7" x14ac:dyDescent="0.2">
      <c r="A20" s="1708"/>
      <c r="B20" s="162" t="s">
        <v>926</v>
      </c>
      <c r="C20" s="163"/>
      <c r="D20" s="163"/>
      <c r="E20" s="1740"/>
      <c r="F20" s="1734"/>
      <c r="G20" s="1738"/>
    </row>
    <row r="21" spans="1:7" x14ac:dyDescent="0.2">
      <c r="A21" s="1707">
        <v>222</v>
      </c>
      <c r="B21" s="164" t="s">
        <v>203</v>
      </c>
      <c r="C21" s="165"/>
      <c r="D21" s="165"/>
      <c r="E21" s="1739">
        <v>2024</v>
      </c>
      <c r="F21" s="1735">
        <f>93+30+7265.07</f>
        <v>7388.07</v>
      </c>
      <c r="G21" s="1737">
        <v>2025</v>
      </c>
    </row>
    <row r="22" spans="1:7" x14ac:dyDescent="0.2">
      <c r="A22" s="1708"/>
      <c r="B22" s="162" t="s">
        <v>927</v>
      </c>
      <c r="C22" s="163"/>
      <c r="D22" s="163"/>
      <c r="E22" s="1740"/>
      <c r="F22" s="1734"/>
      <c r="G22" s="1738"/>
    </row>
    <row r="23" spans="1:7" x14ac:dyDescent="0.2">
      <c r="A23" s="1707">
        <v>223</v>
      </c>
      <c r="B23" s="164" t="s">
        <v>206</v>
      </c>
      <c r="C23" s="165"/>
      <c r="D23" s="165"/>
      <c r="E23" s="1739">
        <v>2024</v>
      </c>
      <c r="F23" s="1735">
        <v>20000</v>
      </c>
      <c r="G23" s="1737">
        <v>2025</v>
      </c>
    </row>
    <row r="24" spans="1:7" ht="17.25" customHeight="1" x14ac:dyDescent="0.2">
      <c r="A24" s="1708"/>
      <c r="B24" s="162" t="s">
        <v>959</v>
      </c>
      <c r="C24" s="163"/>
      <c r="D24" s="163"/>
      <c r="E24" s="1740"/>
      <c r="F24" s="1734"/>
      <c r="G24" s="1738"/>
    </row>
    <row r="25" spans="1:7" x14ac:dyDescent="0.2">
      <c r="A25" s="1707">
        <v>225</v>
      </c>
      <c r="B25" s="164" t="s">
        <v>223</v>
      </c>
      <c r="C25" s="165"/>
      <c r="D25" s="165"/>
      <c r="E25" s="1739">
        <v>2024</v>
      </c>
      <c r="F25" s="1735">
        <v>210085</v>
      </c>
      <c r="G25" s="1737">
        <v>2025</v>
      </c>
    </row>
    <row r="26" spans="1:7" x14ac:dyDescent="0.2">
      <c r="A26" s="1708"/>
      <c r="B26" s="162" t="s">
        <v>919</v>
      </c>
      <c r="C26" s="163"/>
      <c r="D26" s="163"/>
      <c r="E26" s="1740"/>
      <c r="F26" s="1734"/>
      <c r="G26" s="1738"/>
    </row>
    <row r="27" spans="1:7" x14ac:dyDescent="0.2">
      <c r="A27" s="1707">
        <v>229</v>
      </c>
      <c r="B27" s="164" t="s">
        <v>224</v>
      </c>
      <c r="C27" s="165"/>
      <c r="D27" s="165"/>
      <c r="E27" s="1739">
        <v>2024</v>
      </c>
      <c r="F27" s="1735">
        <v>1266159.04</v>
      </c>
      <c r="G27" s="1737">
        <v>2025</v>
      </c>
    </row>
    <row r="28" spans="1:7" x14ac:dyDescent="0.2">
      <c r="A28" s="1708"/>
      <c r="B28" s="162" t="s">
        <v>920</v>
      </c>
      <c r="C28" s="163"/>
      <c r="D28" s="163"/>
      <c r="E28" s="1740"/>
      <c r="F28" s="1734"/>
      <c r="G28" s="1738"/>
    </row>
    <row r="29" spans="1:7" x14ac:dyDescent="0.2">
      <c r="A29" s="1707">
        <v>231</v>
      </c>
      <c r="B29" s="164" t="s">
        <v>159</v>
      </c>
      <c r="C29" s="165"/>
      <c r="D29" s="165"/>
      <c r="E29" s="1739">
        <v>2024</v>
      </c>
      <c r="F29" s="1735">
        <v>2149563.15</v>
      </c>
      <c r="G29" s="1737">
        <v>2025</v>
      </c>
    </row>
    <row r="30" spans="1:7" x14ac:dyDescent="0.2">
      <c r="A30" s="1708"/>
      <c r="B30" s="162" t="s">
        <v>921</v>
      </c>
      <c r="C30" s="163"/>
      <c r="D30" s="163"/>
      <c r="E30" s="1740"/>
      <c r="F30" s="1734"/>
      <c r="G30" s="1738"/>
    </row>
    <row r="31" spans="1:7" x14ac:dyDescent="0.2">
      <c r="A31" s="1707">
        <v>240</v>
      </c>
      <c r="B31" s="164" t="s">
        <v>928</v>
      </c>
      <c r="C31" s="165"/>
      <c r="D31" s="165"/>
      <c r="E31" s="1739">
        <v>2024</v>
      </c>
      <c r="F31" s="1735">
        <f>8391.21+351.75+76446.72+50+1512.59+163742.6+209.6+46551.06+69+45243.47+24740+280401.65</f>
        <v>647709.65</v>
      </c>
      <c r="G31" s="1737">
        <v>2025</v>
      </c>
    </row>
    <row r="32" spans="1:7" x14ac:dyDescent="0.2">
      <c r="A32" s="1708"/>
      <c r="B32" s="162" t="s">
        <v>922</v>
      </c>
      <c r="C32" s="163"/>
      <c r="D32" s="163"/>
      <c r="E32" s="1740"/>
      <c r="F32" s="1734"/>
      <c r="G32" s="1738"/>
    </row>
    <row r="33" spans="1:7" x14ac:dyDescent="0.2">
      <c r="A33" s="1707">
        <v>242</v>
      </c>
      <c r="B33" s="164" t="s">
        <v>930</v>
      </c>
      <c r="C33" s="165"/>
      <c r="D33" s="165"/>
      <c r="E33" s="1739">
        <v>2024</v>
      </c>
      <c r="F33" s="1735">
        <v>39121.31</v>
      </c>
      <c r="G33" s="1737">
        <v>2025</v>
      </c>
    </row>
    <row r="34" spans="1:7" x14ac:dyDescent="0.2">
      <c r="A34" s="1708"/>
      <c r="B34" s="162" t="s">
        <v>934</v>
      </c>
      <c r="C34" s="163"/>
      <c r="D34" s="163"/>
      <c r="E34" s="1740"/>
      <c r="F34" s="1734"/>
      <c r="G34" s="1738"/>
    </row>
    <row r="35" spans="1:7" x14ac:dyDescent="0.2">
      <c r="A35" s="1707">
        <v>247</v>
      </c>
      <c r="B35" s="164" t="s">
        <v>932</v>
      </c>
      <c r="C35" s="165"/>
      <c r="D35" s="165"/>
      <c r="E35" s="1739">
        <v>2024</v>
      </c>
      <c r="F35" s="1735">
        <v>48826630.079999998</v>
      </c>
      <c r="G35" s="1737">
        <v>2025</v>
      </c>
    </row>
    <row r="36" spans="1:7" x14ac:dyDescent="0.2">
      <c r="A36" s="1708"/>
      <c r="B36" s="162" t="s">
        <v>933</v>
      </c>
      <c r="C36" s="163"/>
      <c r="D36" s="163"/>
      <c r="E36" s="1740"/>
      <c r="F36" s="1734"/>
      <c r="G36" s="1738"/>
    </row>
    <row r="37" spans="1:7" x14ac:dyDescent="0.2">
      <c r="A37" s="1707">
        <v>280</v>
      </c>
      <c r="B37" s="164" t="s">
        <v>1041</v>
      </c>
      <c r="C37" s="165"/>
      <c r="D37" s="165"/>
      <c r="E37" s="1739">
        <v>2024</v>
      </c>
      <c r="F37" s="1735">
        <f>26535.23+1297707.14+499456+106610.07+589271.97+12104.07+802.94</f>
        <v>2532487.42</v>
      </c>
      <c r="G37" s="1742">
        <v>2025</v>
      </c>
    </row>
    <row r="38" spans="1:7" x14ac:dyDescent="0.2">
      <c r="A38" s="1708"/>
      <c r="B38" s="162" t="s">
        <v>923</v>
      </c>
      <c r="C38" s="163"/>
      <c r="D38" s="163"/>
      <c r="E38" s="1740"/>
      <c r="F38" s="1734"/>
      <c r="G38" s="1737"/>
    </row>
    <row r="39" spans="1:7" x14ac:dyDescent="0.2">
      <c r="A39" s="1707">
        <v>283</v>
      </c>
      <c r="B39" s="164" t="s">
        <v>935</v>
      </c>
      <c r="C39" s="165"/>
      <c r="D39" s="165"/>
      <c r="E39" s="1739">
        <v>2024</v>
      </c>
      <c r="F39" s="1735">
        <v>3818</v>
      </c>
      <c r="G39" s="1737">
        <v>2025</v>
      </c>
    </row>
    <row r="40" spans="1:7" x14ac:dyDescent="0.2">
      <c r="A40" s="1708"/>
      <c r="B40" s="162" t="s">
        <v>931</v>
      </c>
      <c r="C40" s="163"/>
      <c r="D40" s="163"/>
      <c r="E40" s="1740"/>
      <c r="F40" s="1734"/>
      <c r="G40" s="1738"/>
    </row>
    <row r="41" spans="1:7" x14ac:dyDescent="0.2">
      <c r="A41" s="1707">
        <v>284</v>
      </c>
      <c r="B41" s="164" t="s">
        <v>1062</v>
      </c>
      <c r="C41" s="165"/>
      <c r="D41" s="165"/>
      <c r="E41" s="1739">
        <v>2024</v>
      </c>
      <c r="F41" s="1735">
        <f>16756.64</f>
        <v>16756.64</v>
      </c>
      <c r="G41" s="1737">
        <v>2025</v>
      </c>
    </row>
    <row r="42" spans="1:7" x14ac:dyDescent="0.2">
      <c r="A42" s="1708"/>
      <c r="B42" s="162" t="s">
        <v>931</v>
      </c>
      <c r="C42" s="163"/>
      <c r="D42" s="163"/>
      <c r="E42" s="1740"/>
      <c r="F42" s="1734"/>
      <c r="G42" s="1738"/>
    </row>
    <row r="43" spans="1:7" x14ac:dyDescent="0.2">
      <c r="A43" s="1707">
        <v>286</v>
      </c>
      <c r="B43" s="164" t="s">
        <v>1102</v>
      </c>
      <c r="C43" s="165"/>
      <c r="D43" s="165"/>
      <c r="E43" s="1739">
        <v>2024</v>
      </c>
      <c r="F43" s="1735">
        <v>108913</v>
      </c>
      <c r="G43" s="1737">
        <v>2025</v>
      </c>
    </row>
    <row r="44" spans="1:7" x14ac:dyDescent="0.2">
      <c r="A44" s="1708"/>
      <c r="B44" s="162" t="s">
        <v>931</v>
      </c>
      <c r="C44" s="163"/>
      <c r="D44" s="163"/>
      <c r="E44" s="1740"/>
      <c r="F44" s="1734"/>
      <c r="G44" s="1738"/>
    </row>
    <row r="45" spans="1:7" x14ac:dyDescent="0.2">
      <c r="A45" s="1707">
        <v>288</v>
      </c>
      <c r="B45" s="164" t="s">
        <v>1103</v>
      </c>
      <c r="C45" s="165"/>
      <c r="D45" s="165"/>
      <c r="E45" s="1739">
        <v>2024</v>
      </c>
      <c r="F45" s="1743">
        <v>1180222.02</v>
      </c>
      <c r="G45" s="1737">
        <v>2025</v>
      </c>
    </row>
    <row r="46" spans="1:7" ht="15.75" thickBot="1" x14ac:dyDescent="0.25">
      <c r="A46" s="1708"/>
      <c r="B46" s="162" t="s">
        <v>931</v>
      </c>
      <c r="C46" s="163"/>
      <c r="D46" s="163"/>
      <c r="E46" s="1740"/>
      <c r="F46" s="1736"/>
      <c r="G46" s="1738"/>
    </row>
    <row r="47" spans="1:7" x14ac:dyDescent="0.2">
      <c r="A47" s="156" t="s">
        <v>225</v>
      </c>
      <c r="B47" s="147" t="s">
        <v>1040</v>
      </c>
      <c r="C47" s="148"/>
      <c r="D47" s="1212"/>
      <c r="E47" s="148"/>
      <c r="F47" s="525"/>
      <c r="G47" s="389"/>
    </row>
    <row r="48" spans="1:7" ht="15.75" thickBot="1" x14ac:dyDescent="0.25">
      <c r="A48" s="158"/>
      <c r="B48" s="159" t="s">
        <v>222</v>
      </c>
      <c r="C48" s="160"/>
      <c r="D48" s="1213"/>
      <c r="E48" s="160"/>
      <c r="F48" s="526"/>
      <c r="G48" s="388"/>
    </row>
    <row r="49" spans="1:15" x14ac:dyDescent="0.25">
      <c r="A49" s="1726"/>
      <c r="B49" s="161" t="s">
        <v>200</v>
      </c>
      <c r="E49" s="1722"/>
      <c r="F49" s="527"/>
      <c r="G49" s="1708"/>
    </row>
    <row r="50" spans="1:15" x14ac:dyDescent="0.25">
      <c r="A50" s="1708"/>
      <c r="B50" s="162"/>
      <c r="C50" s="163"/>
      <c r="D50" s="163"/>
      <c r="E50" s="1708"/>
      <c r="F50" s="528"/>
      <c r="G50" s="1727"/>
    </row>
    <row r="51" spans="1:15" x14ac:dyDescent="0.2">
      <c r="A51" s="166"/>
      <c r="B51" s="164" t="s">
        <v>201</v>
      </c>
      <c r="C51" s="165"/>
      <c r="D51" s="165"/>
      <c r="E51" s="1728"/>
      <c r="F51" s="524"/>
      <c r="G51" s="1729"/>
    </row>
    <row r="52" spans="1:15" x14ac:dyDescent="0.2">
      <c r="A52" s="167"/>
      <c r="B52" s="162"/>
      <c r="C52" s="163"/>
      <c r="D52" s="163"/>
      <c r="E52" s="1724"/>
      <c r="F52" s="523"/>
      <c r="G52" s="1729"/>
    </row>
    <row r="53" spans="1:15" x14ac:dyDescent="0.2">
      <c r="A53" s="166"/>
      <c r="B53" s="164" t="s">
        <v>202</v>
      </c>
      <c r="C53" s="165"/>
      <c r="D53" s="165"/>
      <c r="E53" s="1728"/>
      <c r="F53" s="524"/>
      <c r="G53" s="1729"/>
    </row>
    <row r="54" spans="1:15" ht="15.75" thickBot="1" x14ac:dyDescent="0.25">
      <c r="A54" s="168"/>
      <c r="B54" s="161"/>
      <c r="E54" s="1730"/>
      <c r="F54" s="522"/>
      <c r="G54" s="1728"/>
      <c r="O54" s="706"/>
    </row>
    <row r="55" spans="1:15" x14ac:dyDescent="0.2">
      <c r="A55" s="169"/>
      <c r="B55" s="148" t="s">
        <v>1037</v>
      </c>
      <c r="C55" s="148"/>
      <c r="D55" s="148"/>
      <c r="E55" s="148"/>
      <c r="F55" s="148"/>
      <c r="G55" s="387"/>
    </row>
    <row r="56" spans="1:15" ht="15.75" thickBot="1" x14ac:dyDescent="0.25">
      <c r="A56" s="158"/>
      <c r="B56" s="170" t="s">
        <v>936</v>
      </c>
      <c r="C56" s="170"/>
      <c r="D56" s="170"/>
      <c r="E56" s="160"/>
      <c r="F56" s="160"/>
      <c r="G56" s="707">
        <f>SUM(F15:F46)</f>
        <v>62895156.720000006</v>
      </c>
      <c r="I56" s="744"/>
      <c r="J56" s="706"/>
      <c r="L56" s="706">
        <f>Bilans!F25-'Załącznik 12Z'!G56</f>
        <v>0</v>
      </c>
      <c r="O56" s="706"/>
    </row>
    <row r="57" spans="1:15" x14ac:dyDescent="0.2">
      <c r="A57" s="154" t="s">
        <v>226</v>
      </c>
    </row>
    <row r="58" spans="1:15" x14ac:dyDescent="0.2">
      <c r="F58" s="1725"/>
      <c r="G58" s="1725"/>
    </row>
    <row r="60" spans="1:15" s="539" customFormat="1" x14ac:dyDescent="0.2">
      <c r="A60" s="539" t="s">
        <v>299</v>
      </c>
      <c r="E60" s="1681" t="s">
        <v>298</v>
      </c>
      <c r="F60" s="1681"/>
    </row>
    <row r="61" spans="1:15" s="539" customFormat="1" x14ac:dyDescent="0.2">
      <c r="A61" s="539" t="s">
        <v>291</v>
      </c>
      <c r="E61" s="558" t="s">
        <v>290</v>
      </c>
      <c r="F61" s="558"/>
    </row>
  </sheetData>
  <mergeCells count="83">
    <mergeCell ref="F25:F26"/>
    <mergeCell ref="F35:F36"/>
    <mergeCell ref="F37:F38"/>
    <mergeCell ref="F41:F42"/>
    <mergeCell ref="F45:F46"/>
    <mergeCell ref="F39:F40"/>
    <mergeCell ref="F43:F44"/>
    <mergeCell ref="F58:G58"/>
    <mergeCell ref="E60:F60"/>
    <mergeCell ref="E51:E52"/>
    <mergeCell ref="G51:G52"/>
    <mergeCell ref="E53:E54"/>
    <mergeCell ref="G53:G54"/>
    <mergeCell ref="A35:A36"/>
    <mergeCell ref="G35:G36"/>
    <mergeCell ref="A37:A38"/>
    <mergeCell ref="G37:G38"/>
    <mergeCell ref="A45:A46"/>
    <mergeCell ref="G45:G46"/>
    <mergeCell ref="A39:A40"/>
    <mergeCell ref="G39:G40"/>
    <mergeCell ref="A43:A44"/>
    <mergeCell ref="G43:G44"/>
    <mergeCell ref="E35:E36"/>
    <mergeCell ref="E37:E38"/>
    <mergeCell ref="E41:E42"/>
    <mergeCell ref="E45:E46"/>
    <mergeCell ref="E39:E40"/>
    <mergeCell ref="E43:E44"/>
    <mergeCell ref="A41:A42"/>
    <mergeCell ref="G41:G42"/>
    <mergeCell ref="A49:A50"/>
    <mergeCell ref="E49:E50"/>
    <mergeCell ref="G49:G50"/>
    <mergeCell ref="A19:A20"/>
    <mergeCell ref="G19:G20"/>
    <mergeCell ref="A21:A22"/>
    <mergeCell ref="G21:G22"/>
    <mergeCell ref="A33:A34"/>
    <mergeCell ref="G33:G34"/>
    <mergeCell ref="A27:A28"/>
    <mergeCell ref="G27:G28"/>
    <mergeCell ref="A29:A30"/>
    <mergeCell ref="E33:E34"/>
    <mergeCell ref="F33:F34"/>
    <mergeCell ref="F19:F20"/>
    <mergeCell ref="F21:F22"/>
    <mergeCell ref="F23:F24"/>
    <mergeCell ref="F27:F28"/>
    <mergeCell ref="F29:F30"/>
    <mergeCell ref="A15:A16"/>
    <mergeCell ref="G15:G16"/>
    <mergeCell ref="A23:A24"/>
    <mergeCell ref="G23:G24"/>
    <mergeCell ref="A25:A26"/>
    <mergeCell ref="G25:G26"/>
    <mergeCell ref="A17:A18"/>
    <mergeCell ref="G17:G18"/>
    <mergeCell ref="E15:E16"/>
    <mergeCell ref="E17:E18"/>
    <mergeCell ref="E19:E20"/>
    <mergeCell ref="E21:E22"/>
    <mergeCell ref="E23:E24"/>
    <mergeCell ref="E25:E26"/>
    <mergeCell ref="F15:F16"/>
    <mergeCell ref="F17:F18"/>
    <mergeCell ref="G29:G30"/>
    <mergeCell ref="A31:A32"/>
    <mergeCell ref="G31:G32"/>
    <mergeCell ref="E27:E28"/>
    <mergeCell ref="E29:E30"/>
    <mergeCell ref="E31:E32"/>
    <mergeCell ref="F31:F32"/>
    <mergeCell ref="A11:A12"/>
    <mergeCell ref="B11:D12"/>
    <mergeCell ref="E11:E12"/>
    <mergeCell ref="F11:F12"/>
    <mergeCell ref="G11:G12"/>
    <mergeCell ref="F2:G2"/>
    <mergeCell ref="A4:B4"/>
    <mergeCell ref="A5:B5"/>
    <mergeCell ref="A7:G7"/>
    <mergeCell ref="A9:G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5"/>
  <sheetViews>
    <sheetView zoomScale="90" zoomScaleNormal="90" workbookViewId="0">
      <selection activeCell="J9" sqref="J9"/>
    </sheetView>
  </sheetViews>
  <sheetFormatPr defaultColWidth="9.140625" defaultRowHeight="15" x14ac:dyDescent="0.2"/>
  <cols>
    <col min="1" max="1" width="8" style="138" customWidth="1"/>
    <col min="2" max="2" width="37.5703125" style="123" customWidth="1"/>
    <col min="3" max="3" width="14.140625" style="123" customWidth="1"/>
    <col min="4" max="4" width="18.140625" style="123" customWidth="1"/>
    <col min="5" max="5" width="17.5703125" style="123" bestFit="1" customWidth="1"/>
    <col min="6" max="7" width="18.140625" style="123" customWidth="1"/>
    <col min="8" max="8" width="18.140625" style="1244" customWidth="1"/>
    <col min="9" max="9" width="18.140625" style="123" customWidth="1"/>
    <col min="10" max="10" width="24.28515625" style="123" customWidth="1"/>
    <col min="11" max="16384" width="9.140625" style="123"/>
  </cols>
  <sheetData>
    <row r="1" spans="1:10" s="125" customFormat="1" x14ac:dyDescent="0.25">
      <c r="A1" s="174"/>
      <c r="H1" s="1245"/>
    </row>
    <row r="2" spans="1:10" s="125" customFormat="1" ht="72" customHeight="1" x14ac:dyDescent="0.25">
      <c r="A2" s="1745"/>
      <c r="B2" s="1745"/>
      <c r="H2" s="1245"/>
      <c r="I2" s="1709"/>
      <c r="J2" s="1709"/>
    </row>
    <row r="3" spans="1:10" s="136" customFormat="1" ht="11.25" customHeight="1" x14ac:dyDescent="0.2">
      <c r="A3" s="262" t="s">
        <v>302</v>
      </c>
      <c r="B3" s="262"/>
      <c r="C3" s="171"/>
      <c r="D3" s="171"/>
      <c r="E3" s="171"/>
      <c r="F3" s="171"/>
      <c r="H3" s="172"/>
      <c r="I3" s="172"/>
    </row>
    <row r="4" spans="1:10" ht="12" customHeight="1" x14ac:dyDescent="0.2">
      <c r="A4" s="263" t="s">
        <v>288</v>
      </c>
      <c r="B4" s="263"/>
      <c r="C4" s="173"/>
      <c r="D4" s="173"/>
      <c r="E4" s="173"/>
      <c r="F4" s="173"/>
    </row>
    <row r="5" spans="1:10" ht="12" customHeight="1" x14ac:dyDescent="0.2">
      <c r="A5" s="263" t="s">
        <v>289</v>
      </c>
      <c r="B5" s="263"/>
      <c r="C5" s="173"/>
      <c r="D5" s="173"/>
      <c r="E5" s="173"/>
      <c r="F5" s="173"/>
    </row>
    <row r="6" spans="1:10" ht="78.75" customHeight="1" x14ac:dyDescent="0.2">
      <c r="A6" s="1744" t="s">
        <v>1063</v>
      </c>
      <c r="B6" s="1744"/>
      <c r="C6" s="1744"/>
      <c r="D6" s="1744"/>
      <c r="E6" s="1744"/>
      <c r="F6" s="1744"/>
      <c r="G6" s="1744"/>
      <c r="H6" s="1744"/>
      <c r="I6" s="1744"/>
      <c r="J6" s="1744"/>
    </row>
    <row r="7" spans="1:10" ht="20.25" customHeight="1" thickBot="1" x14ac:dyDescent="0.25">
      <c r="A7" s="176"/>
      <c r="B7" s="176"/>
      <c r="C7" s="176"/>
      <c r="D7" s="176"/>
      <c r="E7" s="176"/>
      <c r="F7" s="176"/>
      <c r="G7" s="176"/>
      <c r="H7" s="1249"/>
      <c r="I7" s="176"/>
    </row>
    <row r="8" spans="1:10" s="138" customFormat="1" ht="65.25" customHeight="1" thickBot="1" x14ac:dyDescent="0.25">
      <c r="A8" s="177" t="s">
        <v>129</v>
      </c>
      <c r="B8" s="178" t="s">
        <v>951</v>
      </c>
      <c r="C8" s="177" t="s">
        <v>337</v>
      </c>
      <c r="D8" s="177" t="s">
        <v>938</v>
      </c>
      <c r="E8" s="177" t="s">
        <v>939</v>
      </c>
      <c r="F8" s="177" t="s">
        <v>732</v>
      </c>
      <c r="G8" s="177" t="s">
        <v>945</v>
      </c>
      <c r="H8" s="177" t="s">
        <v>205</v>
      </c>
      <c r="I8" s="177" t="s">
        <v>205</v>
      </c>
      <c r="J8" s="178" t="s">
        <v>1066</v>
      </c>
    </row>
    <row r="9" spans="1:10" ht="12.75" customHeight="1" thickBot="1" x14ac:dyDescent="0.25">
      <c r="A9" s="180"/>
      <c r="B9" s="181"/>
      <c r="C9" s="182"/>
      <c r="D9" s="138">
        <v>1</v>
      </c>
      <c r="E9" s="183">
        <v>2</v>
      </c>
      <c r="F9" s="138">
        <v>3</v>
      </c>
      <c r="G9" s="183">
        <v>4</v>
      </c>
      <c r="H9" s="183" t="s">
        <v>69</v>
      </c>
      <c r="I9" s="183" t="s">
        <v>69</v>
      </c>
      <c r="J9" s="184"/>
    </row>
    <row r="10" spans="1:10" ht="18.75" customHeight="1" thickBot="1" x14ac:dyDescent="0.25">
      <c r="A10" s="185"/>
      <c r="B10" s="186" t="s">
        <v>338</v>
      </c>
      <c r="C10" s="187"/>
      <c r="D10" s="710">
        <f>D12</f>
        <v>15552.67</v>
      </c>
      <c r="E10" s="709">
        <f>E12</f>
        <v>133633.12</v>
      </c>
      <c r="F10" s="710">
        <f>F12</f>
        <v>2699669.72</v>
      </c>
      <c r="G10" s="709">
        <f>G12+G11</f>
        <v>21059.5</v>
      </c>
      <c r="H10" s="710">
        <f>H12</f>
        <v>0</v>
      </c>
      <c r="I10" s="710">
        <f>I12</f>
        <v>0</v>
      </c>
      <c r="J10" s="1254">
        <f>D10+E10+F10+G10</f>
        <v>2869915.0100000002</v>
      </c>
    </row>
    <row r="11" spans="1:10" s="193" customFormat="1" ht="31.5" customHeight="1" thickBot="1" x14ac:dyDescent="0.25">
      <c r="A11" s="188" t="s">
        <v>366</v>
      </c>
      <c r="B11" s="186" t="s">
        <v>339</v>
      </c>
      <c r="C11" s="187"/>
      <c r="D11" s="189"/>
      <c r="E11" s="190"/>
      <c r="F11" s="191"/>
      <c r="G11" s="1024">
        <v>20306.14</v>
      </c>
      <c r="H11" s="190"/>
      <c r="I11" s="190"/>
      <c r="J11" s="1254">
        <f>D11+E11+F11+G11</f>
        <v>20306.14</v>
      </c>
    </row>
    <row r="12" spans="1:10" s="193" customFormat="1" ht="36.75" customHeight="1" thickBot="1" x14ac:dyDescent="0.25">
      <c r="A12" s="188" t="s">
        <v>225</v>
      </c>
      <c r="B12" s="186" t="s">
        <v>340</v>
      </c>
      <c r="C12" s="187"/>
      <c r="D12" s="552">
        <f>D22</f>
        <v>15552.67</v>
      </c>
      <c r="E12" s="190">
        <f>E22</f>
        <v>133633.12</v>
      </c>
      <c r="F12" s="190">
        <f>F22</f>
        <v>2699669.72</v>
      </c>
      <c r="G12" s="1024">
        <f>G17</f>
        <v>753.36</v>
      </c>
      <c r="H12" s="190">
        <f>H22</f>
        <v>0</v>
      </c>
      <c r="I12" s="190">
        <f>I22</f>
        <v>0</v>
      </c>
      <c r="J12" s="1254">
        <f>D12+E12+F12+G12</f>
        <v>2849608.87</v>
      </c>
    </row>
    <row r="13" spans="1:10" ht="15" customHeight="1" thickBot="1" x14ac:dyDescent="0.25">
      <c r="A13" s="185" t="s">
        <v>200</v>
      </c>
      <c r="B13" s="194" t="s">
        <v>245</v>
      </c>
      <c r="C13" s="195"/>
      <c r="D13" s="196"/>
      <c r="E13" s="197"/>
      <c r="F13" s="196"/>
      <c r="G13" s="198"/>
      <c r="H13" s="198"/>
      <c r="I13" s="198"/>
      <c r="J13" s="553"/>
    </row>
    <row r="14" spans="1:10" ht="15" customHeight="1" x14ac:dyDescent="0.2">
      <c r="A14" s="200"/>
      <c r="B14" s="201" t="s">
        <v>222</v>
      </c>
      <c r="C14" s="202"/>
      <c r="D14" s="203"/>
      <c r="E14" s="204"/>
      <c r="F14" s="203"/>
      <c r="G14" s="205"/>
      <c r="H14" s="205"/>
      <c r="I14" s="205"/>
      <c r="J14" s="554"/>
    </row>
    <row r="15" spans="1:10" ht="15" customHeight="1" x14ac:dyDescent="0.2">
      <c r="A15" s="207" t="s">
        <v>341</v>
      </c>
      <c r="B15" s="208" t="s">
        <v>342</v>
      </c>
      <c r="C15" s="209"/>
      <c r="D15" s="203"/>
      <c r="E15" s="204"/>
      <c r="F15" s="203"/>
      <c r="G15" s="205"/>
      <c r="H15" s="205"/>
      <c r="I15" s="205"/>
      <c r="J15" s="554"/>
    </row>
    <row r="16" spans="1:10" ht="15" customHeight="1" thickBot="1" x14ac:dyDescent="0.25">
      <c r="A16" s="210" t="s">
        <v>343</v>
      </c>
      <c r="B16" s="211" t="s">
        <v>143</v>
      </c>
      <c r="C16" s="212"/>
      <c r="D16" s="213"/>
      <c r="E16" s="214"/>
      <c r="F16" s="213"/>
      <c r="G16" s="215"/>
      <c r="H16" s="215"/>
      <c r="I16" s="215"/>
      <c r="J16" s="555"/>
    </row>
    <row r="17" spans="1:10" ht="14.25" customHeight="1" thickBot="1" x14ac:dyDescent="0.25">
      <c r="A17" s="185" t="s">
        <v>201</v>
      </c>
      <c r="B17" s="194" t="s">
        <v>247</v>
      </c>
      <c r="C17" s="195"/>
      <c r="D17" s="216"/>
      <c r="E17" s="197"/>
      <c r="F17" s="196"/>
      <c r="G17" s="197">
        <v>753.36</v>
      </c>
      <c r="H17" s="198"/>
      <c r="I17" s="198"/>
      <c r="J17" s="553">
        <f>D17+E17+F17+G17</f>
        <v>753.36</v>
      </c>
    </row>
    <row r="18" spans="1:10" ht="14.25" customHeight="1" x14ac:dyDescent="0.2">
      <c r="A18" s="200"/>
      <c r="B18" s="201" t="s">
        <v>222</v>
      </c>
      <c r="C18" s="202"/>
      <c r="D18" s="217"/>
      <c r="E18" s="204"/>
      <c r="F18" s="203"/>
      <c r="G18" s="204"/>
      <c r="H18" s="205"/>
      <c r="I18" s="205"/>
      <c r="J18" s="554"/>
    </row>
    <row r="19" spans="1:10" ht="15" customHeight="1" x14ac:dyDescent="0.2">
      <c r="A19" s="207" t="s">
        <v>344</v>
      </c>
      <c r="B19" s="208" t="s">
        <v>342</v>
      </c>
      <c r="C19" s="209"/>
      <c r="D19" s="217"/>
      <c r="E19" s="204"/>
      <c r="F19" s="203"/>
      <c r="G19" s="204"/>
      <c r="H19" s="205"/>
      <c r="I19" s="205"/>
      <c r="J19" s="554"/>
    </row>
    <row r="20" spans="1:10" ht="15" customHeight="1" thickBot="1" x14ac:dyDescent="0.25">
      <c r="A20" s="210" t="s">
        <v>345</v>
      </c>
      <c r="B20" s="211" t="s">
        <v>143</v>
      </c>
      <c r="C20" s="212"/>
      <c r="D20" s="218"/>
      <c r="E20" s="214"/>
      <c r="F20" s="213"/>
      <c r="G20" s="214"/>
      <c r="H20" s="215"/>
      <c r="I20" s="215"/>
      <c r="J20" s="555"/>
    </row>
    <row r="21" spans="1:10" ht="32.25" customHeight="1" thickBot="1" x14ac:dyDescent="0.25">
      <c r="A21" s="185" t="s">
        <v>202</v>
      </c>
      <c r="B21" s="194" t="s">
        <v>160</v>
      </c>
      <c r="C21" s="195"/>
      <c r="D21" s="216"/>
      <c r="E21" s="198"/>
      <c r="F21" s="216"/>
      <c r="G21" s="198"/>
      <c r="H21" s="198"/>
      <c r="I21" s="198"/>
      <c r="J21" s="553"/>
    </row>
    <row r="22" spans="1:10" ht="15.75" thickBot="1" x14ac:dyDescent="0.25">
      <c r="A22" s="185" t="s">
        <v>203</v>
      </c>
      <c r="B22" s="194" t="s">
        <v>252</v>
      </c>
      <c r="C22" s="195" t="s">
        <v>731</v>
      </c>
      <c r="D22" s="196">
        <v>15552.67</v>
      </c>
      <c r="E22" s="197">
        <v>133633.12</v>
      </c>
      <c r="F22" s="196">
        <v>2699669.72</v>
      </c>
      <c r="G22" s="197">
        <v>0</v>
      </c>
      <c r="H22" s="197">
        <v>0</v>
      </c>
      <c r="I22" s="197">
        <v>0</v>
      </c>
      <c r="J22" s="553">
        <f>D22+E22+F22+G22</f>
        <v>2848855.5100000002</v>
      </c>
    </row>
    <row r="23" spans="1:10" x14ac:dyDescent="0.2">
      <c r="A23" s="200"/>
      <c r="B23" s="201" t="s">
        <v>222</v>
      </c>
      <c r="C23" s="202"/>
      <c r="D23" s="203"/>
      <c r="E23" s="204"/>
      <c r="F23" s="203"/>
      <c r="G23" s="204"/>
      <c r="H23" s="204"/>
      <c r="I23" s="204"/>
      <c r="J23" s="554"/>
    </row>
    <row r="24" spans="1:10" x14ac:dyDescent="0.2">
      <c r="A24" s="207" t="s">
        <v>346</v>
      </c>
      <c r="B24" s="208" t="s">
        <v>342</v>
      </c>
      <c r="C24" s="209"/>
      <c r="D24" s="203"/>
      <c r="E24" s="204"/>
      <c r="F24" s="203"/>
      <c r="G24" s="204"/>
      <c r="H24" s="204"/>
      <c r="I24" s="204"/>
      <c r="J24" s="554"/>
    </row>
    <row r="25" spans="1:10" ht="15" customHeight="1" thickBot="1" x14ac:dyDescent="0.25">
      <c r="A25" s="219" t="s">
        <v>347</v>
      </c>
      <c r="B25" s="220" t="s">
        <v>143</v>
      </c>
      <c r="C25" s="221"/>
      <c r="D25" s="222"/>
      <c r="E25" s="223"/>
      <c r="F25" s="222"/>
      <c r="G25" s="223"/>
      <c r="H25" s="223"/>
      <c r="I25" s="223"/>
      <c r="J25" s="556"/>
    </row>
    <row r="26" spans="1:10" s="125" customFormat="1" x14ac:dyDescent="0.25">
      <c r="A26" s="174"/>
      <c r="D26" s="125" t="s">
        <v>61</v>
      </c>
      <c r="H26" s="1245"/>
    </row>
    <row r="27" spans="1:10" s="125" customFormat="1" x14ac:dyDescent="0.25">
      <c r="A27" s="135" t="s">
        <v>141</v>
      </c>
      <c r="B27" s="135"/>
      <c r="C27" s="175"/>
      <c r="D27" s="175"/>
      <c r="E27" s="224"/>
      <c r="F27" s="175"/>
      <c r="G27" s="175"/>
      <c r="H27" s="1245"/>
    </row>
    <row r="28" spans="1:10" s="125" customFormat="1" x14ac:dyDescent="0.25">
      <c r="A28" s="174"/>
      <c r="E28" s="225"/>
      <c r="F28" s="226"/>
      <c r="H28" s="1245"/>
    </row>
    <row r="29" spans="1:10" s="125" customFormat="1" x14ac:dyDescent="0.25">
      <c r="A29" s="174"/>
      <c r="B29" s="227"/>
      <c r="C29" s="227"/>
      <c r="F29" s="228"/>
      <c r="H29" s="1245"/>
    </row>
    <row r="30" spans="1:10" s="125" customFormat="1" x14ac:dyDescent="0.25">
      <c r="A30" s="174"/>
      <c r="B30" s="227"/>
      <c r="C30" s="227"/>
      <c r="F30" s="228"/>
      <c r="H30" s="1245"/>
    </row>
    <row r="31" spans="1:10" s="125" customFormat="1" x14ac:dyDescent="0.25">
      <c r="A31" s="174"/>
      <c r="B31" s="227"/>
      <c r="C31" s="227"/>
      <c r="F31" s="228"/>
      <c r="H31" s="1245"/>
    </row>
    <row r="32" spans="1:10" ht="18.75" customHeight="1" x14ac:dyDescent="0.2"/>
    <row r="33" spans="1:9" ht="12.75" customHeight="1" x14ac:dyDescent="0.2">
      <c r="A33" s="138" t="s">
        <v>299</v>
      </c>
      <c r="E33" s="138" t="s">
        <v>301</v>
      </c>
      <c r="F33" s="138"/>
      <c r="H33" s="1247"/>
      <c r="I33" s="1247"/>
    </row>
    <row r="34" spans="1:9" ht="27" customHeight="1" x14ac:dyDescent="0.2">
      <c r="A34" s="126" t="s">
        <v>291</v>
      </c>
      <c r="E34" s="138" t="s">
        <v>290</v>
      </c>
      <c r="F34" s="138"/>
      <c r="H34" s="1247"/>
      <c r="I34" s="1247"/>
    </row>
    <row r="35" spans="1:9" ht="13.5" customHeight="1" x14ac:dyDescent="0.2"/>
  </sheetData>
  <customSheetViews>
    <customSheetView guid="{17151551-8460-47BF-8C20-7FE2DB216614}" showRuler="0" topLeftCell="A7">
      <selection activeCell="I22" sqref="I2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J6"/>
      <pageMargins left="0.22" right="0.17" top="0.31496062992125984" bottom="0.27559055118110237" header="0.19685039370078741" footer="0.19685039370078741"/>
      <pageSetup paperSize="9" scale="74" orientation="landscape" r:id="rId2"/>
      <headerFooter alignWithMargins="0"/>
    </customSheetView>
  </customSheetViews>
  <mergeCells count="3">
    <mergeCell ref="I2:J2"/>
    <mergeCell ref="A6:J6"/>
    <mergeCell ref="A2:B2"/>
  </mergeCells>
  <phoneticPr fontId="32" type="noConversion"/>
  <pageMargins left="0.22" right="0.17" top="0.31496062992125984" bottom="0.27559055118110237" header="0.19685039370078741" footer="0.19685039370078741"/>
  <pageSetup paperSize="9" scale="76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29"/>
  <sheetViews>
    <sheetView zoomScale="70" zoomScaleNormal="70" workbookViewId="0">
      <selection activeCell="J21" sqref="J21"/>
    </sheetView>
  </sheetViews>
  <sheetFormatPr defaultColWidth="9.140625" defaultRowHeight="15" x14ac:dyDescent="0.2"/>
  <cols>
    <col min="1" max="1" width="8" style="138" customWidth="1"/>
    <col min="2" max="2" width="37.5703125" style="123" customWidth="1"/>
    <col min="3" max="3" width="26.5703125" style="123" customWidth="1"/>
    <col min="4" max="4" width="20.42578125" style="123" customWidth="1"/>
    <col min="5" max="5" width="18.140625" style="123" customWidth="1"/>
    <col min="6" max="6" width="19" style="123" customWidth="1"/>
    <col min="7" max="7" width="20.140625" style="123" customWidth="1"/>
    <col min="8" max="8" width="19.85546875" style="123" customWidth="1"/>
    <col min="9" max="10" width="20.7109375" style="123" customWidth="1"/>
    <col min="11" max="11" width="2" style="123" customWidth="1"/>
    <col min="12" max="16384" width="9.140625" style="123"/>
  </cols>
  <sheetData>
    <row r="1" spans="1:20" s="125" customFormat="1" x14ac:dyDescent="0.25">
      <c r="A1" s="174"/>
      <c r="F1" s="229"/>
      <c r="H1" s="175" t="s">
        <v>189</v>
      </c>
    </row>
    <row r="2" spans="1:20" s="125" customFormat="1" ht="89.25" customHeight="1" x14ac:dyDescent="0.25">
      <c r="A2" s="1751"/>
      <c r="B2" s="1751"/>
      <c r="C2" s="1751"/>
      <c r="D2" s="1751"/>
      <c r="H2" s="1667" t="s">
        <v>508</v>
      </c>
      <c r="I2" s="1709"/>
      <c r="J2" s="129"/>
      <c r="K2" s="129"/>
    </row>
    <row r="3" spans="1:20" s="136" customFormat="1" ht="11.25" customHeight="1" x14ac:dyDescent="0.2">
      <c r="A3" s="262" t="s">
        <v>302</v>
      </c>
      <c r="B3" s="262"/>
      <c r="C3" s="171"/>
      <c r="D3" s="171"/>
      <c r="E3" s="171"/>
      <c r="F3" s="171"/>
      <c r="I3" s="172"/>
      <c r="J3" s="172"/>
    </row>
    <row r="4" spans="1:20" ht="12" customHeight="1" x14ac:dyDescent="0.2">
      <c r="A4" s="263" t="s">
        <v>288</v>
      </c>
      <c r="B4" s="263"/>
      <c r="C4" s="173"/>
      <c r="D4" s="173"/>
      <c r="E4" s="173"/>
      <c r="F4" s="173"/>
    </row>
    <row r="5" spans="1:20" ht="12" customHeight="1" x14ac:dyDescent="0.2">
      <c r="A5" s="263" t="s">
        <v>289</v>
      </c>
      <c r="B5" s="263"/>
      <c r="C5" s="173"/>
      <c r="D5" s="173"/>
      <c r="E5" s="173"/>
      <c r="F5" s="173"/>
    </row>
    <row r="6" spans="1:20" ht="78.75" customHeight="1" x14ac:dyDescent="0.2">
      <c r="A6" s="1744" t="s">
        <v>1046</v>
      </c>
      <c r="B6" s="1744"/>
      <c r="C6" s="1744"/>
      <c r="D6" s="1744"/>
      <c r="E6" s="1744"/>
      <c r="F6" s="1744"/>
      <c r="G6" s="1744"/>
      <c r="H6" s="1744"/>
      <c r="I6" s="1744"/>
      <c r="J6" s="1747"/>
    </row>
    <row r="7" spans="1:20" ht="20.25" customHeight="1" thickBot="1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</row>
    <row r="8" spans="1:20" s="138" customFormat="1" ht="65.25" customHeight="1" thickBot="1" x14ac:dyDescent="0.3">
      <c r="A8" s="177" t="s">
        <v>204</v>
      </c>
      <c r="B8" s="178" t="s">
        <v>205</v>
      </c>
      <c r="C8" s="177" t="s">
        <v>182</v>
      </c>
      <c r="D8" s="177" t="s">
        <v>183</v>
      </c>
      <c r="E8" s="177" t="s">
        <v>184</v>
      </c>
      <c r="F8" s="177" t="s">
        <v>185</v>
      </c>
      <c r="G8" s="177" t="s">
        <v>186</v>
      </c>
      <c r="H8" s="145" t="s">
        <v>187</v>
      </c>
      <c r="I8" s="177" t="s">
        <v>188</v>
      </c>
      <c r="J8" s="177" t="s">
        <v>673</v>
      </c>
      <c r="Q8" s="1667"/>
      <c r="R8" s="1667"/>
      <c r="S8" s="1667"/>
      <c r="T8" s="1667"/>
    </row>
    <row r="9" spans="1:20" s="193" customFormat="1" ht="34.5" customHeight="1" thickBot="1" x14ac:dyDescent="0.25">
      <c r="A9" s="1217">
        <v>1</v>
      </c>
      <c r="B9" s="1222" t="s">
        <v>1043</v>
      </c>
      <c r="C9" s="1223" t="s">
        <v>1045</v>
      </c>
      <c r="D9" s="1219" t="s">
        <v>1044</v>
      </c>
      <c r="E9" s="1220" t="s">
        <v>731</v>
      </c>
      <c r="F9" s="1219">
        <v>371.87</v>
      </c>
      <c r="G9" s="1255">
        <v>45687</v>
      </c>
      <c r="H9" s="1221"/>
      <c r="I9" s="1220"/>
      <c r="J9" s="1220"/>
    </row>
    <row r="10" spans="1:20" s="193" customFormat="1" ht="31.5" customHeight="1" thickBot="1" x14ac:dyDescent="0.25">
      <c r="A10" s="1217"/>
      <c r="B10" s="1222"/>
      <c r="C10" s="1223"/>
      <c r="D10" s="1219"/>
      <c r="E10" s="1220"/>
      <c r="F10" s="1219"/>
      <c r="G10" s="1220"/>
      <c r="H10" s="1221"/>
      <c r="I10" s="1220"/>
      <c r="J10" s="1220"/>
    </row>
    <row r="11" spans="1:20" s="193" customFormat="1" ht="31.5" customHeight="1" thickBot="1" x14ac:dyDescent="0.25">
      <c r="A11" s="1217"/>
      <c r="B11" s="1218"/>
      <c r="C11" s="1217"/>
      <c r="D11" s="1219"/>
      <c r="E11" s="1220"/>
      <c r="F11" s="1219"/>
      <c r="G11" s="1220"/>
      <c r="H11" s="1221"/>
      <c r="I11" s="1220"/>
      <c r="J11" s="1220"/>
    </row>
    <row r="12" spans="1:20" s="193" customFormat="1" ht="31.5" customHeight="1" thickBot="1" x14ac:dyDescent="0.25">
      <c r="A12" s="1217"/>
      <c r="B12" s="1218"/>
      <c r="C12" s="1217"/>
      <c r="D12" s="1219"/>
      <c r="E12" s="1220"/>
      <c r="F12" s="1219"/>
      <c r="G12" s="1220"/>
      <c r="H12" s="1221"/>
      <c r="I12" s="1220"/>
      <c r="J12" s="1220"/>
    </row>
    <row r="13" spans="1:20" s="193" customFormat="1" ht="31.5" customHeight="1" thickBot="1" x14ac:dyDescent="0.25">
      <c r="A13" s="1217"/>
      <c r="B13" s="1218"/>
      <c r="C13" s="1217"/>
      <c r="D13" s="1219"/>
      <c r="E13" s="1220"/>
      <c r="F13" s="1219"/>
      <c r="G13" s="1220"/>
      <c r="H13" s="1221"/>
      <c r="I13" s="1220"/>
      <c r="J13" s="1220"/>
    </row>
    <row r="14" spans="1:20" s="193" customFormat="1" ht="31.5" customHeight="1" thickBot="1" x14ac:dyDescent="0.25">
      <c r="A14" s="1217"/>
      <c r="B14" s="1218"/>
      <c r="C14" s="1217"/>
      <c r="D14" s="1219"/>
      <c r="E14" s="1220"/>
      <c r="F14" s="1219"/>
      <c r="G14" s="1220"/>
      <c r="H14" s="1221"/>
      <c r="I14" s="1220"/>
      <c r="J14" s="1220"/>
    </row>
    <row r="15" spans="1:20" s="193" customFormat="1" ht="36.75" customHeight="1" thickBot="1" x14ac:dyDescent="0.25">
      <c r="A15" s="1748" t="s">
        <v>142</v>
      </c>
      <c r="B15" s="1749"/>
      <c r="C15" s="1749"/>
      <c r="D15" s="1749"/>
      <c r="E15" s="1750"/>
      <c r="F15" s="1219">
        <f>SUM(F9:F14)</f>
        <v>371.87</v>
      </c>
      <c r="G15" s="1220" t="s">
        <v>955</v>
      </c>
      <c r="H15" s="1219" t="s">
        <v>955</v>
      </c>
      <c r="I15" s="1220" t="s">
        <v>955</v>
      </c>
      <c r="J15" s="1220" t="s">
        <v>955</v>
      </c>
    </row>
    <row r="16" spans="1:20" s="125" customFormat="1" x14ac:dyDescent="0.25">
      <c r="A16" s="174"/>
      <c r="D16" s="125" t="s">
        <v>61</v>
      </c>
    </row>
    <row r="17" spans="1:9" s="125" customFormat="1" ht="15" customHeight="1" x14ac:dyDescent="0.25">
      <c r="A17" s="135" t="s">
        <v>190</v>
      </c>
      <c r="B17" s="135"/>
      <c r="C17" s="135"/>
      <c r="D17" s="135"/>
      <c r="E17" s="135"/>
      <c r="F17" s="135"/>
      <c r="G17" s="135"/>
      <c r="H17" s="135"/>
    </row>
    <row r="18" spans="1:9" s="125" customFormat="1" x14ac:dyDescent="0.25">
      <c r="A18" s="135" t="s">
        <v>503</v>
      </c>
      <c r="B18" s="135"/>
      <c r="C18" s="135"/>
      <c r="D18" s="135"/>
      <c r="E18" s="135"/>
      <c r="F18" s="228"/>
    </row>
    <row r="19" spans="1:9" s="125" customFormat="1" ht="14.25" customHeight="1" x14ac:dyDescent="0.25">
      <c r="A19" s="135" t="s">
        <v>504</v>
      </c>
      <c r="B19" s="135"/>
      <c r="C19" s="135"/>
      <c r="D19" s="135"/>
      <c r="E19" s="135"/>
    </row>
    <row r="20" spans="1:9" s="125" customFormat="1" ht="14.25" customHeight="1" x14ac:dyDescent="0.25">
      <c r="A20" s="135" t="s">
        <v>505</v>
      </c>
      <c r="B20" s="135"/>
      <c r="C20" s="135"/>
      <c r="D20" s="135"/>
      <c r="E20" s="135"/>
      <c r="F20" s="228"/>
    </row>
    <row r="21" spans="1:9" s="125" customFormat="1" ht="14.25" customHeight="1" x14ac:dyDescent="0.25">
      <c r="A21" s="135" t="s">
        <v>506</v>
      </c>
      <c r="B21" s="135"/>
      <c r="C21" s="135"/>
      <c r="D21" s="135"/>
      <c r="E21" s="135"/>
      <c r="F21" s="228"/>
    </row>
    <row r="22" spans="1:9" s="125" customFormat="1" ht="14.25" customHeight="1" x14ac:dyDescent="0.25">
      <c r="A22" s="1560" t="s">
        <v>507</v>
      </c>
      <c r="B22" s="1560"/>
      <c r="C22" s="1560"/>
      <c r="D22" s="1560"/>
      <c r="E22" s="1560"/>
      <c r="F22" s="228"/>
    </row>
    <row r="23" spans="1:9" ht="18.75" customHeight="1" x14ac:dyDescent="0.25">
      <c r="A23" s="135"/>
      <c r="B23" s="135"/>
      <c r="C23" s="135"/>
      <c r="D23" s="135"/>
      <c r="E23" s="135"/>
      <c r="H23" s="130"/>
    </row>
    <row r="24" spans="1:9" ht="18.75" customHeight="1" x14ac:dyDescent="0.25">
      <c r="A24" s="135"/>
      <c r="B24" s="135"/>
      <c r="C24" s="135"/>
      <c r="D24" s="135"/>
      <c r="E24" s="135"/>
      <c r="H24" s="130"/>
    </row>
    <row r="25" spans="1:9" ht="18.75" customHeight="1" x14ac:dyDescent="0.25">
      <c r="A25" s="135"/>
      <c r="B25" s="135"/>
      <c r="C25" s="135"/>
      <c r="D25" s="135"/>
      <c r="E25" s="135"/>
      <c r="H25" s="130"/>
    </row>
    <row r="26" spans="1:9" ht="18.75" customHeight="1" x14ac:dyDescent="0.25">
      <c r="A26" s="135"/>
      <c r="B26" s="135"/>
      <c r="C26" s="135"/>
      <c r="D26" s="135"/>
      <c r="E26" s="135"/>
      <c r="H26" s="130"/>
    </row>
    <row r="27" spans="1:9" ht="12.75" customHeight="1" x14ac:dyDescent="0.2">
      <c r="A27" s="126" t="s">
        <v>299</v>
      </c>
      <c r="E27" s="138" t="s">
        <v>301</v>
      </c>
      <c r="F27" s="138"/>
      <c r="H27" s="1746"/>
      <c r="I27" s="1746"/>
    </row>
    <row r="28" spans="1:9" ht="27" customHeight="1" x14ac:dyDescent="0.2">
      <c r="A28" s="126" t="s">
        <v>291</v>
      </c>
      <c r="E28" s="138" t="s">
        <v>290</v>
      </c>
      <c r="F28" s="138"/>
      <c r="H28" s="1746"/>
      <c r="I28" s="1746"/>
    </row>
    <row r="29" spans="1:9" ht="13.5" customHeight="1" x14ac:dyDescent="0.2"/>
  </sheetData>
  <customSheetViews>
    <customSheetView guid="{DE9178B7-7BAA-4669-9575-43FAD4CFD495}" fitToPage="1">
      <selection activeCell="D12" sqref="D12"/>
      <pageMargins left="0.22" right="0.17" top="0.31496062992125984" bottom="0.27559055118110237" header="0.19685039370078741" footer="0.19685039370078741"/>
      <pageSetup paperSize="9" scale="77" orientation="landscape" r:id="rId1"/>
      <headerFooter alignWithMargins="0"/>
    </customSheetView>
  </customSheetViews>
  <mergeCells count="9">
    <mergeCell ref="H28:I28"/>
    <mergeCell ref="H27:I27"/>
    <mergeCell ref="A6:J6"/>
    <mergeCell ref="Q8:T8"/>
    <mergeCell ref="H2:I2"/>
    <mergeCell ref="A15:E15"/>
    <mergeCell ref="C2:D2"/>
    <mergeCell ref="A2:B2"/>
    <mergeCell ref="A22:E22"/>
  </mergeCells>
  <phoneticPr fontId="32" type="noConversion"/>
  <pageMargins left="0.23622047244094491" right="0.15748031496062992" top="0.31496062992125984" bottom="0.27559055118110237" header="0.19685039370078741" footer="0.19685039370078741"/>
  <pageSetup paperSize="9" scale="69" orientation="landscape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28"/>
  <sheetViews>
    <sheetView topLeftCell="B1" zoomScaleNormal="100" workbookViewId="0">
      <selection activeCell="C5" sqref="C5"/>
    </sheetView>
  </sheetViews>
  <sheetFormatPr defaultColWidth="9.140625" defaultRowHeight="15" x14ac:dyDescent="0.2"/>
  <cols>
    <col min="1" max="1" width="8" style="138" customWidth="1"/>
    <col min="2" max="2" width="37.5703125" style="123" customWidth="1"/>
    <col min="3" max="4" width="20.42578125" style="743" customWidth="1"/>
    <col min="5" max="5" width="18.140625" style="743" customWidth="1"/>
    <col min="6" max="9" width="18.140625" style="123" customWidth="1"/>
    <col min="10" max="10" width="21.7109375" style="123" customWidth="1"/>
    <col min="11" max="11" width="2" style="123" customWidth="1"/>
    <col min="12" max="16384" width="9.140625" style="123"/>
  </cols>
  <sheetData>
    <row r="1" spans="1:20" s="125" customFormat="1" x14ac:dyDescent="0.25">
      <c r="A1" s="174"/>
      <c r="C1" s="1025"/>
      <c r="D1" s="1025"/>
      <c r="E1" s="1025"/>
      <c r="F1" s="229"/>
      <c r="H1" s="175" t="s">
        <v>640</v>
      </c>
    </row>
    <row r="2" spans="1:20" s="125" customFormat="1" ht="89.25" customHeight="1" x14ac:dyDescent="0.25">
      <c r="A2" s="1751"/>
      <c r="B2" s="1751"/>
      <c r="C2" s="1752"/>
      <c r="D2" s="1752"/>
      <c r="E2" s="1025"/>
      <c r="H2" s="1667" t="s">
        <v>508</v>
      </c>
      <c r="I2" s="1709"/>
      <c r="J2" s="129"/>
      <c r="K2" s="129"/>
    </row>
    <row r="3" spans="1:20" s="136" customFormat="1" ht="11.25" customHeight="1" x14ac:dyDescent="0.2">
      <c r="A3" s="262" t="s">
        <v>302</v>
      </c>
      <c r="B3" s="262"/>
      <c r="C3" s="1026"/>
      <c r="D3" s="1026"/>
      <c r="E3" s="1026"/>
      <c r="F3" s="171"/>
      <c r="I3" s="172"/>
    </row>
    <row r="4" spans="1:20" ht="12" customHeight="1" x14ac:dyDescent="0.2">
      <c r="A4" s="263" t="s">
        <v>288</v>
      </c>
      <c r="B4" s="263"/>
      <c r="C4" s="1027"/>
      <c r="D4" s="1027"/>
      <c r="E4" s="1027"/>
      <c r="F4" s="173"/>
    </row>
    <row r="5" spans="1:20" ht="12" customHeight="1" x14ac:dyDescent="0.2">
      <c r="A5" s="263" t="s">
        <v>289</v>
      </c>
      <c r="B5" s="263"/>
      <c r="C5" s="1028"/>
      <c r="D5" s="1028"/>
      <c r="E5" s="1028"/>
      <c r="F5" s="173"/>
    </row>
    <row r="6" spans="1:20" ht="78.75" customHeight="1" x14ac:dyDescent="0.2">
      <c r="A6" s="1744" t="s">
        <v>1064</v>
      </c>
      <c r="B6" s="1744"/>
      <c r="C6" s="1744"/>
      <c r="D6" s="1744"/>
      <c r="E6" s="1744"/>
      <c r="F6" s="1744"/>
      <c r="G6" s="1744"/>
      <c r="H6" s="1744"/>
      <c r="I6" s="1744"/>
    </row>
    <row r="7" spans="1:20" ht="20.25" customHeight="1" thickBot="1" x14ac:dyDescent="0.25">
      <c r="A7" s="176"/>
      <c r="B7" s="176"/>
      <c r="C7" s="1029"/>
      <c r="D7" s="1029"/>
      <c r="E7" s="1029"/>
      <c r="F7" s="176"/>
      <c r="G7" s="176"/>
      <c r="H7" s="176"/>
      <c r="I7" s="176"/>
    </row>
    <row r="8" spans="1:20" s="138" customFormat="1" ht="65.25" customHeight="1" thickBot="1" x14ac:dyDescent="0.3">
      <c r="A8" s="177" t="s">
        <v>129</v>
      </c>
      <c r="B8" s="178" t="s">
        <v>952</v>
      </c>
      <c r="C8" s="1034" t="s">
        <v>940</v>
      </c>
      <c r="D8" s="1034" t="s">
        <v>1004</v>
      </c>
      <c r="E8" s="1034" t="s">
        <v>1003</v>
      </c>
      <c r="F8" s="177" t="s">
        <v>205</v>
      </c>
      <c r="G8" s="177" t="s">
        <v>205</v>
      </c>
      <c r="H8" s="177" t="s">
        <v>205</v>
      </c>
      <c r="I8" s="177" t="s">
        <v>205</v>
      </c>
      <c r="J8" s="178" t="s">
        <v>1066</v>
      </c>
      <c r="Q8" s="1667"/>
      <c r="R8" s="1667"/>
      <c r="S8" s="1667"/>
      <c r="T8" s="1667"/>
    </row>
    <row r="9" spans="1:20" s="193" customFormat="1" ht="31.5" customHeight="1" thickBot="1" x14ac:dyDescent="0.25">
      <c r="A9" s="180"/>
      <c r="B9" s="181"/>
      <c r="C9" s="183">
        <v>1</v>
      </c>
      <c r="D9" s="183">
        <v>2</v>
      </c>
      <c r="E9" s="1277">
        <v>3</v>
      </c>
      <c r="F9" s="183">
        <v>4</v>
      </c>
      <c r="G9" s="183">
        <v>5</v>
      </c>
      <c r="H9" s="138">
        <v>6</v>
      </c>
      <c r="I9" s="183">
        <v>7</v>
      </c>
      <c r="J9" s="184"/>
    </row>
    <row r="10" spans="1:20" s="193" customFormat="1" ht="31.5" customHeight="1" thickBot="1" x14ac:dyDescent="0.25">
      <c r="A10" s="185"/>
      <c r="B10" s="186" t="s">
        <v>338</v>
      </c>
      <c r="C10" s="1292">
        <f>C11+C12</f>
        <v>530588.03</v>
      </c>
      <c r="D10" s="1292">
        <v>896</v>
      </c>
      <c r="E10" s="1292">
        <f t="shared" ref="E10" si="0">E11+E12</f>
        <v>17313.87</v>
      </c>
      <c r="F10" s="230">
        <f t="shared" ref="F10:J10" si="1">F11+F12</f>
        <v>0</v>
      </c>
      <c r="G10" s="230">
        <f t="shared" si="1"/>
        <v>0</v>
      </c>
      <c r="H10" s="230">
        <f t="shared" si="1"/>
        <v>0</v>
      </c>
      <c r="I10" s="230">
        <f t="shared" si="1"/>
        <v>0</v>
      </c>
      <c r="J10" s="230">
        <f t="shared" si="1"/>
        <v>548797.9</v>
      </c>
    </row>
    <row r="11" spans="1:20" s="193" customFormat="1" ht="16.5" thickBot="1" x14ac:dyDescent="0.3">
      <c r="A11" s="188" t="s">
        <v>641</v>
      </c>
      <c r="B11" s="186" t="s">
        <v>339</v>
      </c>
      <c r="C11" s="1292">
        <v>501421.32</v>
      </c>
      <c r="D11" s="1292">
        <v>0</v>
      </c>
      <c r="E11" s="1292">
        <v>16716.84</v>
      </c>
      <c r="F11" s="1035"/>
      <c r="G11" s="190"/>
      <c r="H11" s="191"/>
      <c r="I11" s="190"/>
      <c r="J11" s="192">
        <f>SUM(C11:I11)</f>
        <v>518138.16000000003</v>
      </c>
    </row>
    <row r="12" spans="1:20" s="193" customFormat="1" ht="15.75" thickBot="1" x14ac:dyDescent="0.25">
      <c r="A12" s="188" t="s">
        <v>642</v>
      </c>
      <c r="B12" s="186" t="s">
        <v>340</v>
      </c>
      <c r="C12" s="1292">
        <v>29166.71</v>
      </c>
      <c r="D12" s="1292">
        <v>896</v>
      </c>
      <c r="E12" s="1292">
        <v>597.03</v>
      </c>
      <c r="F12" s="230">
        <f>F13</f>
        <v>0</v>
      </c>
      <c r="G12" s="230">
        <f>G13</f>
        <v>0</v>
      </c>
      <c r="H12" s="230">
        <f>H13</f>
        <v>0</v>
      </c>
      <c r="I12" s="230">
        <f>I13</f>
        <v>0</v>
      </c>
      <c r="J12" s="230">
        <f>SUM(C12:I12)</f>
        <v>30659.739999999998</v>
      </c>
    </row>
    <row r="13" spans="1:20" s="125" customFormat="1" ht="14.25" customHeight="1" thickBot="1" x14ac:dyDescent="0.3">
      <c r="A13" s="185" t="s">
        <v>672</v>
      </c>
      <c r="B13" s="194" t="s">
        <v>252</v>
      </c>
      <c r="C13" s="1293"/>
      <c r="D13" s="1293"/>
      <c r="E13" s="1293"/>
      <c r="F13" s="196"/>
      <c r="G13" s="197"/>
      <c r="H13" s="196"/>
      <c r="I13" s="197"/>
      <c r="J13" s="199">
        <f>SUM(F13:I13)</f>
        <v>0</v>
      </c>
    </row>
    <row r="14" spans="1:20" ht="18.75" customHeight="1" x14ac:dyDescent="0.2">
      <c r="A14" s="200"/>
      <c r="B14" s="201" t="s">
        <v>222</v>
      </c>
      <c r="C14" s="1294"/>
      <c r="D14" s="1294"/>
      <c r="E14" s="1294"/>
      <c r="F14" s="203"/>
      <c r="G14" s="204"/>
      <c r="H14" s="203"/>
      <c r="I14" s="204"/>
      <c r="J14" s="206"/>
    </row>
    <row r="15" spans="1:20" x14ac:dyDescent="0.2">
      <c r="A15" s="231" t="s">
        <v>346</v>
      </c>
      <c r="B15" s="201" t="s">
        <v>342</v>
      </c>
      <c r="C15" s="1294"/>
      <c r="D15" s="1294"/>
      <c r="E15" s="1294"/>
      <c r="F15" s="203"/>
      <c r="G15" s="204"/>
      <c r="H15" s="203"/>
      <c r="I15" s="204"/>
      <c r="J15" s="206">
        <f>SUM(F15:I15)</f>
        <v>0</v>
      </c>
    </row>
    <row r="16" spans="1:20" ht="15.75" thickBot="1" x14ac:dyDescent="0.25">
      <c r="A16" s="232" t="s">
        <v>347</v>
      </c>
      <c r="B16" s="233" t="s">
        <v>143</v>
      </c>
      <c r="C16" s="1295"/>
      <c r="D16" s="1295"/>
      <c r="E16" s="1295"/>
      <c r="F16" s="222"/>
      <c r="G16" s="223"/>
      <c r="H16" s="222"/>
      <c r="I16" s="223"/>
      <c r="J16" s="206">
        <f>SUM(F16:I16)</f>
        <v>0</v>
      </c>
    </row>
    <row r="17" spans="1:10" s="193" customFormat="1" ht="30.75" thickBot="1" x14ac:dyDescent="0.25">
      <c r="A17" s="188" t="s">
        <v>643</v>
      </c>
      <c r="B17" s="186" t="s">
        <v>180</v>
      </c>
      <c r="C17" s="1292">
        <f>C11</f>
        <v>501421.32</v>
      </c>
      <c r="D17" s="1292">
        <f>D11</f>
        <v>0</v>
      </c>
      <c r="E17" s="1292">
        <f>E11</f>
        <v>16716.84</v>
      </c>
      <c r="F17" s="191">
        <v>0</v>
      </c>
      <c r="G17" s="190">
        <v>0</v>
      </c>
      <c r="H17" s="191">
        <v>0</v>
      </c>
      <c r="I17" s="190">
        <v>0</v>
      </c>
      <c r="J17" s="230">
        <f>SUM(C17:I17)</f>
        <v>518138.16000000003</v>
      </c>
    </row>
    <row r="18" spans="1:10" ht="18.75" customHeight="1" x14ac:dyDescent="0.25">
      <c r="A18" s="135"/>
      <c r="B18" s="135"/>
      <c r="C18" s="1030"/>
      <c r="D18" s="1030"/>
      <c r="E18" s="1030"/>
      <c r="H18" s="130"/>
    </row>
    <row r="19" spans="1:10" ht="15.75" x14ac:dyDescent="0.3">
      <c r="A19" s="135" t="s">
        <v>677</v>
      </c>
      <c r="B19" s="135"/>
      <c r="C19" s="1031"/>
      <c r="D19" s="1031"/>
      <c r="E19" s="1031"/>
      <c r="F19" s="228"/>
      <c r="G19" s="125"/>
      <c r="H19" s="125"/>
    </row>
    <row r="20" spans="1:10" x14ac:dyDescent="0.25">
      <c r="A20" s="135" t="s">
        <v>678</v>
      </c>
      <c r="B20" s="135"/>
      <c r="C20" s="135"/>
      <c r="D20" s="135"/>
      <c r="E20" s="135"/>
      <c r="F20" s="125"/>
      <c r="G20" s="125"/>
      <c r="H20" s="125"/>
    </row>
    <row r="21" spans="1:10" ht="15.75" x14ac:dyDescent="0.3">
      <c r="A21" s="135" t="s">
        <v>505</v>
      </c>
      <c r="B21" s="135"/>
      <c r="C21" s="1032"/>
      <c r="D21" s="1032"/>
      <c r="E21" s="1032"/>
      <c r="F21" s="228"/>
      <c r="G21" s="125"/>
      <c r="H21" s="125"/>
    </row>
    <row r="22" spans="1:10" ht="15.75" x14ac:dyDescent="0.3">
      <c r="A22" s="135" t="s">
        <v>506</v>
      </c>
      <c r="B22" s="135"/>
      <c r="C22" s="1032"/>
      <c r="D22" s="1032"/>
      <c r="E22" s="1032"/>
      <c r="F22" s="228"/>
      <c r="G22" s="125"/>
      <c r="H22" s="125"/>
    </row>
    <row r="23" spans="1:10" x14ac:dyDescent="0.25">
      <c r="A23" s="135" t="s">
        <v>507</v>
      </c>
      <c r="B23" s="135"/>
      <c r="C23" s="135"/>
      <c r="D23" s="135"/>
      <c r="E23" s="135"/>
      <c r="F23" s="228"/>
      <c r="G23" s="125"/>
      <c r="H23" s="125"/>
    </row>
    <row r="24" spans="1:10" ht="18.75" customHeight="1" x14ac:dyDescent="0.25">
      <c r="A24" s="135"/>
      <c r="B24" s="135"/>
      <c r="C24" s="1030"/>
      <c r="D24" s="1030"/>
      <c r="E24" s="1030"/>
      <c r="H24" s="130"/>
    </row>
    <row r="25" spans="1:10" ht="18.75" customHeight="1" x14ac:dyDescent="0.25">
      <c r="A25" s="135"/>
      <c r="B25" s="135"/>
      <c r="C25" s="1030"/>
      <c r="D25" s="1030"/>
      <c r="E25" s="1030"/>
      <c r="H25" s="130"/>
    </row>
    <row r="26" spans="1:10" ht="12.75" customHeight="1" x14ac:dyDescent="0.2">
      <c r="A26" s="138" t="s">
        <v>299</v>
      </c>
      <c r="E26" s="123"/>
      <c r="F26" s="138"/>
      <c r="H26" s="1746"/>
      <c r="I26" s="1746"/>
    </row>
    <row r="27" spans="1:10" ht="27" customHeight="1" x14ac:dyDescent="0.2">
      <c r="A27" s="126" t="s">
        <v>291</v>
      </c>
      <c r="C27" s="1033"/>
      <c r="E27" s="123"/>
      <c r="F27" s="138"/>
      <c r="H27" s="1746"/>
      <c r="I27" s="1746"/>
    </row>
    <row r="28" spans="1:10" ht="13.5" customHeight="1" x14ac:dyDescent="0.2"/>
  </sheetData>
  <mergeCells count="7">
    <mergeCell ref="H27:I27"/>
    <mergeCell ref="A6:I6"/>
    <mergeCell ref="Q8:T8"/>
    <mergeCell ref="H26:I26"/>
    <mergeCell ref="A2:B2"/>
    <mergeCell ref="H2:I2"/>
    <mergeCell ref="C2:D2"/>
  </mergeCells>
  <pageMargins left="0.51181102362204722" right="0.31496062992125984" top="0.55118110236220474" bottom="0.15748031496062992" header="0.31496062992125984" footer="0.31496062992125984"/>
  <pageSetup paperSize="9" scale="71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W37"/>
  <sheetViews>
    <sheetView topLeftCell="A6" zoomScale="90" zoomScaleNormal="90" workbookViewId="0">
      <selection activeCell="E9" sqref="E9"/>
    </sheetView>
  </sheetViews>
  <sheetFormatPr defaultColWidth="9.140625" defaultRowHeight="15" x14ac:dyDescent="0.2"/>
  <cols>
    <col min="1" max="1" width="8.42578125" style="123" customWidth="1"/>
    <col min="2" max="2" width="35" style="123" customWidth="1"/>
    <col min="3" max="3" width="18.140625" style="123" customWidth="1"/>
    <col min="4" max="4" width="17.28515625" style="6" customWidth="1"/>
    <col min="5" max="5" width="18.28515625" style="6" customWidth="1"/>
    <col min="6" max="6" width="14.7109375" style="6" customWidth="1"/>
    <col min="7" max="9" width="18.140625" style="123" customWidth="1"/>
    <col min="10" max="10" width="18.5703125" style="123" customWidth="1"/>
    <col min="11" max="11" width="7.7109375" style="123" customWidth="1"/>
    <col min="12" max="12" width="7.85546875" style="123" customWidth="1"/>
    <col min="13" max="16384" width="9.140625" style="123"/>
  </cols>
  <sheetData>
    <row r="1" spans="1:101" s="125" customFormat="1" x14ac:dyDescent="0.25">
      <c r="D1" s="1"/>
      <c r="E1" s="1"/>
      <c r="F1" s="1"/>
      <c r="H1" s="175" t="s">
        <v>332</v>
      </c>
    </row>
    <row r="2" spans="1:101" s="125" customFormat="1" ht="86.25" customHeight="1" x14ac:dyDescent="0.25">
      <c r="D2" s="1"/>
      <c r="E2" s="1"/>
      <c r="F2" s="1"/>
      <c r="H2" s="1667" t="s">
        <v>508</v>
      </c>
      <c r="I2" s="1709"/>
      <c r="J2" s="1709"/>
    </row>
    <row r="3" spans="1:101" s="136" customFormat="1" ht="12" customHeight="1" x14ac:dyDescent="0.2">
      <c r="A3" s="262" t="s">
        <v>300</v>
      </c>
      <c r="B3" s="262"/>
      <c r="C3" s="171"/>
      <c r="D3" s="171"/>
      <c r="E3" s="171"/>
      <c r="F3" s="171"/>
      <c r="G3" s="171"/>
    </row>
    <row r="4" spans="1:101" ht="12" customHeight="1" x14ac:dyDescent="0.2">
      <c r="A4" s="263" t="s">
        <v>288</v>
      </c>
      <c r="B4" s="263"/>
      <c r="C4" s="173"/>
      <c r="D4" s="1036"/>
      <c r="E4" s="1036"/>
      <c r="F4" s="1036"/>
      <c r="G4" s="173"/>
    </row>
    <row r="5" spans="1:101" ht="10.5" customHeight="1" x14ac:dyDescent="0.2">
      <c r="A5" s="193" t="s">
        <v>289</v>
      </c>
      <c r="B5" s="193"/>
      <c r="C5" s="173"/>
      <c r="D5" s="173"/>
      <c r="E5" s="173"/>
      <c r="F5" s="173"/>
      <c r="G5" s="173"/>
    </row>
    <row r="6" spans="1:101" ht="18.75" x14ac:dyDescent="0.2">
      <c r="D6" s="1009"/>
      <c r="E6" s="1009"/>
      <c r="F6" s="1009"/>
      <c r="J6" s="130"/>
    </row>
    <row r="7" spans="1:101" ht="107.25" customHeight="1" x14ac:dyDescent="0.2">
      <c r="A7" s="1744" t="s">
        <v>1067</v>
      </c>
      <c r="B7" s="1744"/>
      <c r="C7" s="1744"/>
      <c r="D7" s="1744"/>
      <c r="E7" s="1744"/>
      <c r="F7" s="1744"/>
      <c r="G7" s="1744"/>
      <c r="H7" s="1744"/>
      <c r="I7" s="1744"/>
      <c r="J7" s="1744"/>
    </row>
    <row r="8" spans="1:101" ht="10.5" customHeight="1" thickBot="1" x14ac:dyDescent="0.25">
      <c r="A8" s="234"/>
      <c r="B8" s="234"/>
      <c r="C8" s="234"/>
      <c r="D8" s="1037"/>
      <c r="E8" s="1037"/>
      <c r="F8" s="1037"/>
      <c r="G8" s="234"/>
      <c r="H8" s="234"/>
      <c r="I8" s="234"/>
      <c r="J8" s="234"/>
    </row>
    <row r="9" spans="1:101" s="235" customFormat="1" ht="72.75" customHeight="1" thickBot="1" x14ac:dyDescent="0.25">
      <c r="A9" s="177" t="s">
        <v>129</v>
      </c>
      <c r="B9" s="177" t="s">
        <v>953</v>
      </c>
      <c r="C9" s="179" t="s">
        <v>348</v>
      </c>
      <c r="D9" s="1034" t="s">
        <v>1005</v>
      </c>
      <c r="E9" s="1034" t="s">
        <v>1006</v>
      </c>
      <c r="F9" s="1034" t="s">
        <v>732</v>
      </c>
      <c r="G9" s="177" t="s">
        <v>205</v>
      </c>
      <c r="H9" s="177" t="s">
        <v>205</v>
      </c>
      <c r="I9" s="177" t="s">
        <v>205</v>
      </c>
      <c r="J9" s="177" t="s">
        <v>1065</v>
      </c>
    </row>
    <row r="10" spans="1:101" s="125" customFormat="1" ht="15.75" thickBot="1" x14ac:dyDescent="0.3">
      <c r="A10" s="236"/>
      <c r="B10" s="237"/>
      <c r="C10" s="238"/>
      <c r="D10" s="1038">
        <v>1</v>
      </c>
      <c r="E10" s="1039">
        <v>2</v>
      </c>
      <c r="F10" s="1038">
        <v>3</v>
      </c>
      <c r="G10" s="174">
        <v>4</v>
      </c>
      <c r="H10" s="214"/>
      <c r="I10" s="213"/>
      <c r="J10" s="214"/>
      <c r="K10" s="213"/>
      <c r="L10" s="213"/>
      <c r="M10" s="213"/>
      <c r="N10" s="213"/>
      <c r="O10" s="213"/>
      <c r="P10" s="213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40"/>
      <c r="CV10" s="226"/>
      <c r="CW10" s="226"/>
    </row>
    <row r="11" spans="1:101" s="125" customFormat="1" ht="18.75" customHeight="1" thickBot="1" x14ac:dyDescent="0.3">
      <c r="A11" s="241"/>
      <c r="B11" s="242" t="s">
        <v>349</v>
      </c>
      <c r="C11" s="243"/>
      <c r="D11" s="1040">
        <f>D12+D13</f>
        <v>12907.01</v>
      </c>
      <c r="E11" s="1040">
        <f>E12+E13</f>
        <v>632457.64</v>
      </c>
      <c r="F11" s="1040">
        <f>F12+F13</f>
        <v>3236200.1</v>
      </c>
      <c r="G11" s="247">
        <f>G13</f>
        <v>0</v>
      </c>
      <c r="H11" s="247">
        <f>H13</f>
        <v>0</v>
      </c>
      <c r="I11" s="247">
        <f>I13</f>
        <v>0</v>
      </c>
      <c r="J11" s="247">
        <f>D11+E11+F11+G11+H11+I11</f>
        <v>3881564.75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0"/>
      <c r="CV11" s="226"/>
      <c r="CW11" s="226"/>
    </row>
    <row r="12" spans="1:101" s="175" customFormat="1" ht="19.5" customHeight="1" thickBot="1" x14ac:dyDescent="0.3">
      <c r="A12" s="236" t="s">
        <v>221</v>
      </c>
      <c r="B12" s="237" t="s">
        <v>350</v>
      </c>
      <c r="C12" s="238"/>
      <c r="D12" s="1041"/>
      <c r="E12" s="1042"/>
      <c r="F12" s="1041"/>
      <c r="G12" s="249"/>
      <c r="H12" s="557"/>
      <c r="I12" s="248"/>
      <c r="J12" s="557"/>
      <c r="K12" s="246"/>
      <c r="L12" s="246"/>
      <c r="M12" s="246"/>
      <c r="N12" s="246"/>
      <c r="O12" s="246"/>
      <c r="P12" s="246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0"/>
      <c r="CW12" s="240"/>
    </row>
    <row r="13" spans="1:101" s="175" customFormat="1" ht="21.75" customHeight="1" thickBot="1" x14ac:dyDescent="0.3">
      <c r="A13" s="241" t="s">
        <v>225</v>
      </c>
      <c r="B13" s="242" t="s">
        <v>351</v>
      </c>
      <c r="C13" s="243"/>
      <c r="D13" s="1040">
        <f>D14+D15+D16+D17</f>
        <v>12907.01</v>
      </c>
      <c r="E13" s="1040">
        <f>E14+E15+E16+E17</f>
        <v>632457.64</v>
      </c>
      <c r="F13" s="1040">
        <f>F14+F15+F16+F17</f>
        <v>3236200.1</v>
      </c>
      <c r="G13" s="247">
        <f>G17</f>
        <v>0</v>
      </c>
      <c r="H13" s="247">
        <f>H17</f>
        <v>0</v>
      </c>
      <c r="I13" s="247">
        <f>I17</f>
        <v>0</v>
      </c>
      <c r="J13" s="247">
        <f>D13+E13+F13+G13+H13+I13</f>
        <v>3881564.75</v>
      </c>
      <c r="K13" s="248"/>
      <c r="L13" s="248"/>
      <c r="M13" s="248"/>
      <c r="N13" s="248"/>
      <c r="O13" s="248"/>
      <c r="P13" s="248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50"/>
      <c r="CV13" s="240"/>
      <c r="CW13" s="240"/>
    </row>
    <row r="14" spans="1:101" s="125" customFormat="1" ht="15.75" x14ac:dyDescent="0.25">
      <c r="A14" s="251" t="s">
        <v>200</v>
      </c>
      <c r="B14" s="252" t="s">
        <v>352</v>
      </c>
      <c r="C14" s="253"/>
      <c r="D14" s="1043"/>
      <c r="E14" s="1044">
        <v>43185.67</v>
      </c>
      <c r="F14" s="1043"/>
      <c r="G14" s="254"/>
      <c r="H14" s="204"/>
      <c r="I14" s="203"/>
      <c r="J14" s="1256">
        <f>D14+E14+F14+G14+H14+I14</f>
        <v>43185.67</v>
      </c>
      <c r="K14" s="213"/>
      <c r="L14" s="213"/>
      <c r="M14" s="213"/>
      <c r="N14" s="213"/>
      <c r="O14" s="213"/>
      <c r="P14" s="213"/>
      <c r="Q14" s="239"/>
      <c r="R14" s="239"/>
      <c r="S14" s="239"/>
      <c r="T14" s="239"/>
      <c r="U14" s="239"/>
      <c r="V14" s="255"/>
      <c r="W14" s="239"/>
      <c r="X14" s="239"/>
      <c r="Y14" s="255"/>
      <c r="Z14" s="255"/>
      <c r="AA14" s="239"/>
      <c r="AB14" s="239"/>
      <c r="AC14" s="239"/>
      <c r="AD14" s="239"/>
      <c r="AE14" s="239"/>
      <c r="AF14" s="239"/>
      <c r="AG14" s="239"/>
      <c r="AH14" s="239"/>
      <c r="AI14" s="255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55"/>
      <c r="BD14" s="239"/>
      <c r="BE14" s="239"/>
      <c r="BF14" s="239"/>
      <c r="BG14" s="255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55"/>
      <c r="BZ14" s="239"/>
      <c r="CA14" s="239"/>
      <c r="CB14" s="255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40"/>
      <c r="CV14" s="226"/>
      <c r="CW14" s="226"/>
    </row>
    <row r="15" spans="1:101" s="125" customFormat="1" ht="15.75" x14ac:dyDescent="0.25">
      <c r="A15" s="251" t="s">
        <v>201</v>
      </c>
      <c r="B15" s="252" t="s">
        <v>353</v>
      </c>
      <c r="C15" s="253"/>
      <c r="D15" s="1043"/>
      <c r="E15" s="1044"/>
      <c r="F15" s="1043"/>
      <c r="G15" s="254"/>
      <c r="H15" s="204"/>
      <c r="I15" s="203"/>
      <c r="J15" s="204"/>
      <c r="K15" s="213"/>
      <c r="L15" s="213"/>
      <c r="M15" s="213"/>
      <c r="N15" s="213"/>
      <c r="O15" s="213"/>
      <c r="P15" s="213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55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55"/>
      <c r="BE15" s="239"/>
      <c r="BF15" s="239"/>
      <c r="BG15" s="239"/>
      <c r="BH15" s="255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55"/>
      <c r="CH15" s="255"/>
      <c r="CI15" s="239"/>
      <c r="CJ15" s="239"/>
      <c r="CK15" s="239"/>
      <c r="CL15" s="239"/>
      <c r="CM15" s="239"/>
      <c r="CN15" s="239"/>
      <c r="CO15" s="239"/>
      <c r="CP15" s="255"/>
      <c r="CQ15" s="255"/>
      <c r="CR15" s="239"/>
      <c r="CS15" s="255"/>
      <c r="CT15" s="239"/>
      <c r="CU15" s="240"/>
      <c r="CV15" s="226"/>
      <c r="CW15" s="226"/>
    </row>
    <row r="16" spans="1:101" s="125" customFormat="1" ht="30" x14ac:dyDescent="0.25">
      <c r="A16" s="251" t="s">
        <v>202</v>
      </c>
      <c r="B16" s="252" t="s">
        <v>354</v>
      </c>
      <c r="C16" s="253"/>
      <c r="D16" s="1043"/>
      <c r="E16" s="1044"/>
      <c r="F16" s="1043"/>
      <c r="G16" s="254"/>
      <c r="H16" s="204"/>
      <c r="I16" s="203"/>
      <c r="J16" s="1258"/>
      <c r="K16" s="213"/>
      <c r="L16" s="213"/>
      <c r="M16" s="213"/>
      <c r="N16" s="213"/>
      <c r="O16" s="213"/>
      <c r="P16" s="213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40"/>
      <c r="CW16" s="226"/>
    </row>
    <row r="17" spans="1:101" s="125" customFormat="1" ht="16.5" thickBot="1" x14ac:dyDescent="0.3">
      <c r="A17" s="256" t="s">
        <v>203</v>
      </c>
      <c r="B17" s="257" t="s">
        <v>241</v>
      </c>
      <c r="C17" s="258" t="s">
        <v>733</v>
      </c>
      <c r="D17" s="1045">
        <v>12907.01</v>
      </c>
      <c r="E17" s="1046">
        <v>589271.97</v>
      </c>
      <c r="F17" s="1045">
        <v>3236200.1</v>
      </c>
      <c r="G17" s="259">
        <v>0</v>
      </c>
      <c r="H17" s="259">
        <v>0</v>
      </c>
      <c r="I17" s="259">
        <v>0</v>
      </c>
      <c r="J17" s="1257">
        <f>D17+E17+F17+G17+H17+I17</f>
        <v>3838379.08</v>
      </c>
      <c r="K17" s="213"/>
      <c r="L17" s="213"/>
      <c r="M17" s="213"/>
      <c r="N17" s="213"/>
      <c r="O17" s="213"/>
      <c r="P17" s="213"/>
      <c r="Q17" s="239"/>
      <c r="R17" s="239"/>
      <c r="S17" s="239"/>
      <c r="T17" s="239"/>
      <c r="U17" s="239"/>
      <c r="V17" s="255"/>
      <c r="W17" s="239"/>
      <c r="X17" s="239"/>
      <c r="Y17" s="255"/>
      <c r="Z17" s="255"/>
      <c r="AA17" s="239"/>
      <c r="AB17" s="255"/>
      <c r="AC17" s="239"/>
      <c r="AD17" s="255"/>
      <c r="AE17" s="255"/>
      <c r="AF17" s="255"/>
      <c r="AG17" s="255"/>
      <c r="AH17" s="239"/>
      <c r="AI17" s="255"/>
      <c r="AJ17" s="255"/>
      <c r="AK17" s="239"/>
      <c r="AL17" s="239"/>
      <c r="AM17" s="239"/>
      <c r="AN17" s="255"/>
      <c r="AO17" s="255"/>
      <c r="AP17" s="239"/>
      <c r="AQ17" s="239"/>
      <c r="AR17" s="239"/>
      <c r="AS17" s="239"/>
      <c r="AT17" s="239"/>
      <c r="AU17" s="239"/>
      <c r="AV17" s="239"/>
      <c r="AW17" s="255"/>
      <c r="AX17" s="239"/>
      <c r="AY17" s="255"/>
      <c r="AZ17" s="255"/>
      <c r="BA17" s="239"/>
      <c r="BB17" s="255"/>
      <c r="BC17" s="239"/>
      <c r="BD17" s="239"/>
      <c r="BE17" s="239"/>
      <c r="BF17" s="239"/>
      <c r="BG17" s="239"/>
      <c r="BH17" s="255"/>
      <c r="BI17" s="239"/>
      <c r="BJ17" s="239"/>
      <c r="BK17" s="239"/>
      <c r="BL17" s="239"/>
      <c r="BM17" s="255"/>
      <c r="BN17" s="255"/>
      <c r="BO17" s="239"/>
      <c r="BP17" s="239"/>
      <c r="BQ17" s="239"/>
      <c r="BR17" s="239"/>
      <c r="BS17" s="239"/>
      <c r="BT17" s="239"/>
      <c r="BU17" s="239"/>
      <c r="BV17" s="239"/>
      <c r="BW17" s="239"/>
      <c r="BX17" s="255"/>
      <c r="BY17" s="255"/>
      <c r="BZ17" s="255"/>
      <c r="CA17" s="239"/>
      <c r="CB17" s="255"/>
      <c r="CC17" s="255"/>
      <c r="CD17" s="255"/>
      <c r="CE17" s="239"/>
      <c r="CF17" s="239"/>
      <c r="CG17" s="255"/>
      <c r="CH17" s="239"/>
      <c r="CI17" s="239"/>
      <c r="CJ17" s="239"/>
      <c r="CK17" s="255"/>
      <c r="CL17" s="239"/>
      <c r="CM17" s="239"/>
      <c r="CN17" s="255"/>
      <c r="CO17" s="255"/>
      <c r="CP17" s="255"/>
      <c r="CQ17" s="255"/>
      <c r="CR17" s="255"/>
      <c r="CS17" s="239"/>
      <c r="CT17" s="239"/>
      <c r="CU17" s="240"/>
      <c r="CV17" s="226"/>
      <c r="CW17" s="226"/>
    </row>
    <row r="18" spans="1:101" s="125" customFormat="1" ht="9" customHeight="1" x14ac:dyDescent="0.25">
      <c r="D18" s="1"/>
      <c r="E18" s="1"/>
      <c r="F18" s="1" t="s">
        <v>61</v>
      </c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01" s="125" customFormat="1" x14ac:dyDescent="0.25">
      <c r="A19" s="135" t="s">
        <v>141</v>
      </c>
      <c r="B19" s="135"/>
      <c r="C19" s="175"/>
      <c r="D19" s="1047"/>
      <c r="E19" s="1048"/>
      <c r="F19" s="1047"/>
      <c r="G19" s="175"/>
    </row>
    <row r="20" spans="1:101" s="125" customFormat="1" x14ac:dyDescent="0.25">
      <c r="A20" s="174"/>
      <c r="D20" s="1049"/>
      <c r="E20" s="1050"/>
      <c r="F20" s="1051"/>
    </row>
    <row r="21" spans="1:101" s="125" customFormat="1" x14ac:dyDescent="0.25">
      <c r="A21" s="174"/>
      <c r="B21" s="227"/>
      <c r="C21" s="227"/>
      <c r="D21" s="1052"/>
      <c r="E21" s="1052"/>
      <c r="F21" s="1053"/>
      <c r="J21" s="226"/>
    </row>
    <row r="22" spans="1:101" s="125" customFormat="1" x14ac:dyDescent="0.25">
      <c r="D22" s="1"/>
      <c r="E22" s="1"/>
      <c r="F22" s="1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101" s="125" customFormat="1" x14ac:dyDescent="0.25">
      <c r="D23" s="1"/>
      <c r="E23" s="1"/>
      <c r="F23" s="1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101" x14ac:dyDescent="0.2">
      <c r="A24" s="123" t="s">
        <v>299</v>
      </c>
      <c r="D24" s="1753"/>
      <c r="E24" s="1753"/>
      <c r="F24" s="123"/>
      <c r="G24" s="138"/>
      <c r="J24" s="260"/>
    </row>
    <row r="25" spans="1:101" x14ac:dyDescent="0.2">
      <c r="A25" s="123" t="s">
        <v>291</v>
      </c>
      <c r="E25" s="1054"/>
      <c r="F25" s="123"/>
      <c r="G25" s="138"/>
      <c r="J25" s="521"/>
    </row>
    <row r="28" spans="1:101" x14ac:dyDescent="0.2">
      <c r="F28" s="1055"/>
    </row>
    <row r="29" spans="1:101" x14ac:dyDescent="0.2">
      <c r="F29" s="80"/>
    </row>
    <row r="30" spans="1:101" x14ac:dyDescent="0.2">
      <c r="F30" s="80"/>
    </row>
    <row r="31" spans="1:101" x14ac:dyDescent="0.2">
      <c r="F31" s="80"/>
    </row>
    <row r="32" spans="1:101" x14ac:dyDescent="0.2">
      <c r="F32" s="80"/>
    </row>
    <row r="33" spans="5:6" x14ac:dyDescent="0.2">
      <c r="F33" s="80"/>
    </row>
    <row r="34" spans="5:6" x14ac:dyDescent="0.2">
      <c r="F34" s="80"/>
    </row>
    <row r="35" spans="5:6" x14ac:dyDescent="0.2">
      <c r="F35" s="80"/>
    </row>
    <row r="36" spans="5:6" x14ac:dyDescent="0.2">
      <c r="F36" s="80"/>
    </row>
    <row r="37" spans="5:6" x14ac:dyDescent="0.2">
      <c r="E37" s="1056"/>
      <c r="F37" s="960"/>
    </row>
  </sheetData>
  <customSheetViews>
    <customSheetView guid="{17151551-8460-47BF-8C20-7FE2DB216614}" hiddenColumns="1" showRuler="0">
      <selection activeCell="G12" sqref="G12:H1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B2" sqref="B2"/>
      <pageMargins left="0.17" right="0.19" top="0.31496062992125984" bottom="0.27559055118110237" header="0.19685039370078741" footer="0.19685039370078741"/>
      <pageSetup paperSize="9" scale="95" orientation="landscape" r:id="rId2"/>
      <headerFooter alignWithMargins="0"/>
    </customSheetView>
  </customSheetViews>
  <mergeCells count="3">
    <mergeCell ref="H2:J2"/>
    <mergeCell ref="A7:J7"/>
    <mergeCell ref="D24:E24"/>
  </mergeCells>
  <phoneticPr fontId="32" type="noConversion"/>
  <pageMargins left="0.15748031496062992" right="0.19685039370078741" top="0.31496062992125984" bottom="0.27559055118110237" header="0.19685039370078741" footer="0.19685039370078741"/>
  <pageSetup paperSize="9" scale="79" orientation="landscape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5"/>
  <sheetViews>
    <sheetView zoomScaleNormal="100" workbookViewId="0">
      <selection activeCell="D4" sqref="D4"/>
    </sheetView>
  </sheetViews>
  <sheetFormatPr defaultColWidth="9.140625" defaultRowHeight="15" x14ac:dyDescent="0.2"/>
  <cols>
    <col min="1" max="1" width="8" style="138" customWidth="1"/>
    <col min="2" max="2" width="37.5703125" style="123" customWidth="1"/>
    <col min="3" max="3" width="25.140625" style="123" customWidth="1"/>
    <col min="4" max="4" width="20.42578125" style="123" customWidth="1"/>
    <col min="5" max="5" width="18.140625" style="123" customWidth="1"/>
    <col min="6" max="6" width="19" style="123" customWidth="1"/>
    <col min="7" max="7" width="20.140625" style="123" customWidth="1"/>
    <col min="8" max="8" width="19.85546875" style="123" customWidth="1"/>
    <col min="9" max="9" width="20.7109375" style="123" customWidth="1"/>
    <col min="10" max="10" width="12.7109375" style="123" customWidth="1"/>
    <col min="11" max="16384" width="9.140625" style="123"/>
  </cols>
  <sheetData>
    <row r="1" spans="1:15" s="125" customFormat="1" x14ac:dyDescent="0.25">
      <c r="A1" s="174"/>
      <c r="F1" s="229"/>
      <c r="H1" s="175" t="s">
        <v>501</v>
      </c>
    </row>
    <row r="2" spans="1:15" s="125" customFormat="1" ht="90.75" customHeight="1" x14ac:dyDescent="0.25">
      <c r="A2" s="1751"/>
      <c r="B2" s="1751"/>
      <c r="C2" s="1751"/>
      <c r="D2" s="1751"/>
      <c r="H2" s="1667" t="s">
        <v>508</v>
      </c>
      <c r="I2" s="1709"/>
      <c r="J2" s="127"/>
      <c r="M2" s="1667"/>
      <c r="N2" s="1667"/>
      <c r="O2" s="1709"/>
    </row>
    <row r="3" spans="1:15" s="136" customFormat="1" ht="11.25" customHeight="1" x14ac:dyDescent="0.2">
      <c r="A3" s="262" t="s">
        <v>302</v>
      </c>
      <c r="B3" s="371"/>
      <c r="C3" s="171"/>
      <c r="D3" s="171"/>
      <c r="E3" s="171"/>
      <c r="F3" s="171"/>
      <c r="I3" s="172"/>
    </row>
    <row r="4" spans="1:15" ht="12" customHeight="1" x14ac:dyDescent="0.2">
      <c r="A4" s="263" t="s">
        <v>288</v>
      </c>
      <c r="B4" s="137"/>
      <c r="C4" s="173"/>
      <c r="D4" s="173"/>
      <c r="E4" s="173"/>
      <c r="F4" s="173"/>
    </row>
    <row r="5" spans="1:15" ht="12" customHeight="1" x14ac:dyDescent="0.2">
      <c r="A5" s="263" t="s">
        <v>289</v>
      </c>
      <c r="B5" s="137"/>
      <c r="C5" s="173"/>
      <c r="D5" s="173"/>
      <c r="E5" s="173"/>
      <c r="F5" s="173"/>
    </row>
    <row r="6" spans="1:15" ht="78.75" customHeight="1" x14ac:dyDescent="0.2">
      <c r="A6" s="1744" t="s">
        <v>1068</v>
      </c>
      <c r="B6" s="1744"/>
      <c r="C6" s="1744"/>
      <c r="D6" s="1744"/>
      <c r="E6" s="1744"/>
      <c r="F6" s="1744"/>
      <c r="G6" s="1744"/>
      <c r="H6" s="1744"/>
      <c r="I6" s="1744"/>
    </row>
    <row r="7" spans="1:15" ht="20.25" customHeight="1" thickBot="1" x14ac:dyDescent="0.25">
      <c r="A7" s="176"/>
      <c r="B7" s="176"/>
      <c r="C7" s="176"/>
      <c r="D7" s="176"/>
      <c r="E7" s="176"/>
      <c r="F7" s="176"/>
      <c r="G7" s="176"/>
      <c r="H7" s="176"/>
      <c r="I7" s="176"/>
    </row>
    <row r="8" spans="1:15" s="138" customFormat="1" ht="65.25" customHeight="1" thickBot="1" x14ac:dyDescent="0.25">
      <c r="A8" s="177" t="s">
        <v>204</v>
      </c>
      <c r="B8" s="178" t="s">
        <v>205</v>
      </c>
      <c r="C8" s="177" t="s">
        <v>182</v>
      </c>
      <c r="D8" s="177" t="s">
        <v>183</v>
      </c>
      <c r="E8" s="177" t="s">
        <v>184</v>
      </c>
      <c r="F8" s="177" t="s">
        <v>96</v>
      </c>
      <c r="G8" s="1759" t="s">
        <v>292</v>
      </c>
      <c r="H8" s="1760"/>
      <c r="I8" s="177" t="s">
        <v>674</v>
      </c>
    </row>
    <row r="9" spans="1:15" s="193" customFormat="1" ht="31.5" customHeight="1" thickBot="1" x14ac:dyDescent="0.25">
      <c r="A9" s="188">
        <v>1</v>
      </c>
      <c r="B9" s="186" t="s">
        <v>941</v>
      </c>
      <c r="C9" s="187" t="s">
        <v>942</v>
      </c>
      <c r="D9" s="189" t="s">
        <v>943</v>
      </c>
      <c r="E9" s="190" t="s">
        <v>733</v>
      </c>
      <c r="F9" s="1296">
        <f>0.61</f>
        <v>0.61</v>
      </c>
      <c r="G9" s="1757" t="s">
        <v>944</v>
      </c>
      <c r="H9" s="1758"/>
      <c r="I9" s="261" t="s">
        <v>898</v>
      </c>
    </row>
    <row r="10" spans="1:15" s="193" customFormat="1" ht="31.5" customHeight="1" thickBot="1" x14ac:dyDescent="0.25">
      <c r="A10" s="188">
        <v>2</v>
      </c>
      <c r="B10" s="186" t="s">
        <v>1018</v>
      </c>
      <c r="C10" s="187" t="s">
        <v>942</v>
      </c>
      <c r="D10" s="189" t="s">
        <v>943</v>
      </c>
      <c r="E10" s="190" t="s">
        <v>1019</v>
      </c>
      <c r="F10" s="191">
        <f>6832.04+122094.72+4919.51</f>
        <v>133846.26999999999</v>
      </c>
      <c r="G10" s="1757" t="s">
        <v>1020</v>
      </c>
      <c r="H10" s="1758"/>
      <c r="I10" s="261" t="s">
        <v>898</v>
      </c>
    </row>
    <row r="11" spans="1:15" s="193" customFormat="1" ht="31.5" customHeight="1" thickBot="1" x14ac:dyDescent="0.25">
      <c r="A11" s="188">
        <v>3</v>
      </c>
      <c r="B11" s="186" t="s">
        <v>940</v>
      </c>
      <c r="C11" s="187" t="s">
        <v>1021</v>
      </c>
      <c r="D11" s="189" t="s">
        <v>1022</v>
      </c>
      <c r="E11" s="190" t="s">
        <v>1019</v>
      </c>
      <c r="F11" s="191">
        <v>4425.01</v>
      </c>
      <c r="G11" s="1757" t="s">
        <v>1020</v>
      </c>
      <c r="H11" s="1758"/>
      <c r="I11" s="261" t="s">
        <v>898</v>
      </c>
    </row>
    <row r="12" spans="1:15" s="193" customFormat="1" ht="31.5" customHeight="1" thickBot="1" x14ac:dyDescent="0.25">
      <c r="A12" s="188"/>
      <c r="B12" s="186"/>
      <c r="C12" s="187"/>
      <c r="D12" s="189"/>
      <c r="E12" s="190"/>
      <c r="F12" s="191"/>
      <c r="G12" s="1757"/>
      <c r="H12" s="1758"/>
      <c r="I12" s="1248"/>
    </row>
    <row r="13" spans="1:15" s="193" customFormat="1" ht="36.75" customHeight="1" thickBot="1" x14ac:dyDescent="0.25">
      <c r="A13" s="1754" t="s">
        <v>142</v>
      </c>
      <c r="B13" s="1755"/>
      <c r="C13" s="1755"/>
      <c r="D13" s="1755"/>
      <c r="E13" s="1756"/>
      <c r="F13" s="191">
        <f>SUM(F9:F12)</f>
        <v>138271.88999999998</v>
      </c>
      <c r="G13" s="1757"/>
      <c r="H13" s="1758"/>
      <c r="I13" s="261"/>
    </row>
    <row r="14" spans="1:15" s="125" customFormat="1" x14ac:dyDescent="0.25">
      <c r="A14" s="174"/>
      <c r="D14" s="125" t="s">
        <v>61</v>
      </c>
    </row>
    <row r="15" spans="1:15" s="125" customFormat="1" ht="14.25" customHeight="1" x14ac:dyDescent="0.25">
      <c r="A15" s="135" t="s">
        <v>503</v>
      </c>
      <c r="B15" s="135"/>
      <c r="C15" s="135"/>
      <c r="D15" s="135"/>
      <c r="E15" s="135"/>
      <c r="F15" s="228"/>
    </row>
    <row r="16" spans="1:15" s="125" customFormat="1" ht="14.25" customHeight="1" x14ac:dyDescent="0.25">
      <c r="A16" s="135" t="s">
        <v>504</v>
      </c>
      <c r="B16" s="135"/>
      <c r="C16" s="135"/>
      <c r="D16" s="135"/>
      <c r="E16" s="135"/>
    </row>
    <row r="17" spans="1:9" s="125" customFormat="1" x14ac:dyDescent="0.25">
      <c r="A17" s="135" t="s">
        <v>505</v>
      </c>
      <c r="B17" s="135"/>
      <c r="C17" s="135"/>
      <c r="D17" s="135"/>
      <c r="E17" s="135"/>
      <c r="F17" s="228"/>
    </row>
    <row r="18" spans="1:9" s="125" customFormat="1" x14ac:dyDescent="0.25">
      <c r="A18" s="135" t="s">
        <v>506</v>
      </c>
      <c r="B18" s="135"/>
      <c r="C18" s="135"/>
      <c r="D18" s="135"/>
      <c r="E18" s="135"/>
      <c r="F18" s="228"/>
    </row>
    <row r="19" spans="1:9" s="125" customFormat="1" x14ac:dyDescent="0.25">
      <c r="A19" s="1560" t="s">
        <v>507</v>
      </c>
      <c r="B19" s="1560"/>
      <c r="C19" s="1560"/>
      <c r="D19" s="1560"/>
      <c r="E19" s="1560"/>
      <c r="F19" s="228"/>
    </row>
    <row r="20" spans="1:9" s="125" customFormat="1" x14ac:dyDescent="0.25">
      <c r="A20" s="174"/>
      <c r="B20" s="227"/>
      <c r="C20" s="227"/>
      <c r="F20" s="228"/>
    </row>
    <row r="21" spans="1:9" s="125" customFormat="1" x14ac:dyDescent="0.25">
      <c r="A21" s="174"/>
      <c r="B21" s="227"/>
      <c r="C21" s="227"/>
      <c r="F21" s="228"/>
    </row>
    <row r="22" spans="1:9" ht="18.75" customHeight="1" x14ac:dyDescent="0.2">
      <c r="H22" s="130"/>
    </row>
    <row r="23" spans="1:9" ht="12.75" customHeight="1" x14ac:dyDescent="0.2">
      <c r="A23" s="138" t="s">
        <v>299</v>
      </c>
      <c r="E23" s="138" t="s">
        <v>301</v>
      </c>
      <c r="F23" s="138"/>
      <c r="H23" s="1746"/>
      <c r="I23" s="1746"/>
    </row>
    <row r="24" spans="1:9" ht="27" customHeight="1" x14ac:dyDescent="0.2">
      <c r="A24" s="126" t="s">
        <v>291</v>
      </c>
      <c r="E24" s="138" t="s">
        <v>290</v>
      </c>
      <c r="F24" s="138"/>
      <c r="H24" s="1746"/>
      <c r="I24" s="1746"/>
    </row>
    <row r="25" spans="1:9" ht="13.5" customHeight="1" x14ac:dyDescent="0.2"/>
  </sheetData>
  <customSheetViews>
    <customSheetView guid="{DE9178B7-7BAA-4669-9575-43FAD4CFD495}" fitToPage="1">
      <selection activeCell="E12" sqref="E11:E12"/>
      <pageMargins left="0.22" right="0.17" top="0.31496062992125984" bottom="0.27559055118110237" header="0.19685039370078741" footer="0.19685039370078741"/>
      <pageSetup paperSize="9" scale="77" orientation="landscape" r:id="rId1"/>
      <headerFooter alignWithMargins="0"/>
    </customSheetView>
  </customSheetViews>
  <mergeCells count="15">
    <mergeCell ref="G9:H9"/>
    <mergeCell ref="G10:H10"/>
    <mergeCell ref="G11:H11"/>
    <mergeCell ref="G12:H12"/>
    <mergeCell ref="M2:O2"/>
    <mergeCell ref="H2:I2"/>
    <mergeCell ref="G8:H8"/>
    <mergeCell ref="A2:B2"/>
    <mergeCell ref="A6:I6"/>
    <mergeCell ref="C2:D2"/>
    <mergeCell ref="H24:I24"/>
    <mergeCell ref="H23:I23"/>
    <mergeCell ref="A13:E13"/>
    <mergeCell ref="A19:E19"/>
    <mergeCell ref="G13:H13"/>
  </mergeCells>
  <phoneticPr fontId="32" type="noConversion"/>
  <pageMargins left="0.23622047244094491" right="0.15748031496062992" top="0.31496062992125984" bottom="0.27559055118110237" header="0.19685039370078741" footer="0.19685039370078741"/>
  <pageSetup paperSize="9" scale="70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5"/>
  <sheetViews>
    <sheetView zoomScale="80" zoomScaleNormal="80" workbookViewId="0">
      <selection activeCell="N14" sqref="N14"/>
    </sheetView>
  </sheetViews>
  <sheetFormatPr defaultColWidth="9.140625" defaultRowHeight="15" x14ac:dyDescent="0.2"/>
  <cols>
    <col min="1" max="1" width="6.85546875" style="123" customWidth="1"/>
    <col min="2" max="2" width="56.28515625" style="123" customWidth="1"/>
    <col min="3" max="3" width="15.28515625" style="123" customWidth="1"/>
    <col min="4" max="4" width="16.7109375" style="123" customWidth="1"/>
    <col min="5" max="5" width="17.42578125" style="123" customWidth="1"/>
    <col min="6" max="6" width="15.85546875" style="123" customWidth="1"/>
    <col min="7" max="7" width="17.42578125" style="123" customWidth="1"/>
    <col min="8" max="8" width="24.28515625" style="123" customWidth="1"/>
    <col min="9" max="9" width="2.140625" style="123" customWidth="1"/>
    <col min="10" max="16384" width="9.140625" style="123"/>
  </cols>
  <sheetData>
    <row r="1" spans="1:9" s="125" customFormat="1" x14ac:dyDescent="0.25">
      <c r="D1" s="229"/>
      <c r="F1" s="124" t="s">
        <v>331</v>
      </c>
    </row>
    <row r="2" spans="1:9" s="125" customFormat="1" ht="63.75" customHeight="1" x14ac:dyDescent="0.25">
      <c r="A2" s="1746"/>
      <c r="B2" s="1746"/>
      <c r="C2" s="129"/>
      <c r="D2" s="1709"/>
      <c r="E2" s="1709"/>
      <c r="F2" s="1667" t="s">
        <v>508</v>
      </c>
      <c r="G2" s="1709"/>
      <c r="H2" s="1709"/>
      <c r="I2" s="129"/>
    </row>
    <row r="3" spans="1:9" s="136" customFormat="1" x14ac:dyDescent="0.2">
      <c r="A3" s="262" t="s">
        <v>295</v>
      </c>
      <c r="B3" s="262"/>
    </row>
    <row r="4" spans="1:9" x14ac:dyDescent="0.2">
      <c r="A4" s="193" t="s">
        <v>303</v>
      </c>
      <c r="B4" s="193"/>
    </row>
    <row r="5" spans="1:9" x14ac:dyDescent="0.2">
      <c r="A5" s="263" t="s">
        <v>289</v>
      </c>
      <c r="B5" s="263"/>
      <c r="G5" s="264"/>
    </row>
    <row r="6" spans="1:9" ht="73.5" customHeight="1" x14ac:dyDescent="0.2">
      <c r="A6" s="1744" t="s">
        <v>1069</v>
      </c>
      <c r="B6" s="1744"/>
      <c r="C6" s="1744"/>
      <c r="D6" s="1744"/>
      <c r="E6" s="1744"/>
      <c r="F6" s="1744"/>
      <c r="G6" s="1744"/>
      <c r="H6" s="1744"/>
    </row>
    <row r="7" spans="1:9" ht="37.5" customHeight="1" thickBot="1" x14ac:dyDescent="0.25">
      <c r="A7" s="176"/>
      <c r="B7" s="176"/>
      <c r="C7" s="176"/>
      <c r="D7" s="176"/>
      <c r="E7" s="176"/>
      <c r="F7" s="176"/>
      <c r="G7" s="176"/>
    </row>
    <row r="8" spans="1:9" s="174" customFormat="1" ht="80.25" customHeight="1" thickBot="1" x14ac:dyDescent="0.3">
      <c r="A8" s="177" t="s">
        <v>130</v>
      </c>
      <c r="B8" s="145"/>
      <c r="C8" s="177" t="s">
        <v>732</v>
      </c>
      <c r="D8" s="177" t="s">
        <v>735</v>
      </c>
      <c r="E8" s="177" t="s">
        <v>1005</v>
      </c>
      <c r="F8" s="177" t="s">
        <v>1006</v>
      </c>
      <c r="G8" s="177" t="s">
        <v>312</v>
      </c>
      <c r="H8" s="177" t="s">
        <v>1070</v>
      </c>
    </row>
    <row r="9" spans="1:9" s="125" customFormat="1" ht="13.5" customHeight="1" x14ac:dyDescent="0.25">
      <c r="A9" s="376"/>
      <c r="B9" s="377"/>
      <c r="C9" s="1076">
        <v>1</v>
      </c>
      <c r="D9" s="1076">
        <v>2</v>
      </c>
      <c r="E9" s="146">
        <v>3</v>
      </c>
      <c r="F9" s="146">
        <v>4</v>
      </c>
      <c r="G9" s="265" t="s">
        <v>306</v>
      </c>
      <c r="H9" s="266"/>
    </row>
    <row r="10" spans="1:9" s="125" customFormat="1" ht="27" customHeight="1" x14ac:dyDescent="0.25">
      <c r="A10" s="267">
        <v>1</v>
      </c>
      <c r="B10" s="374" t="s">
        <v>313</v>
      </c>
      <c r="C10" s="1077">
        <f>SUM(C11:C13)</f>
        <v>3767928.9099999997</v>
      </c>
      <c r="D10" s="1077">
        <f>SUM(D11:D13)</f>
        <v>249315.6</v>
      </c>
      <c r="E10" s="716"/>
      <c r="F10" s="711"/>
      <c r="G10" s="711"/>
      <c r="H10" s="712">
        <f>SUM(C10:G10)</f>
        <v>4017244.51</v>
      </c>
    </row>
    <row r="11" spans="1:9" s="125" customFormat="1" ht="27" customHeight="1" x14ac:dyDescent="0.25">
      <c r="A11" s="268" t="s">
        <v>314</v>
      </c>
      <c r="B11" s="372" t="s">
        <v>315</v>
      </c>
      <c r="C11" s="713"/>
      <c r="D11" s="713">
        <v>249315.6</v>
      </c>
      <c r="E11" s="711"/>
      <c r="F11" s="711"/>
      <c r="G11" s="711"/>
      <c r="H11" s="712">
        <f t="shared" ref="H11:H17" si="0">SUM(C11:G11)</f>
        <v>249315.6</v>
      </c>
    </row>
    <row r="12" spans="1:9" s="125" customFormat="1" ht="27" customHeight="1" x14ac:dyDescent="0.25">
      <c r="A12" s="268" t="s">
        <v>476</v>
      </c>
      <c r="B12" s="375" t="s">
        <v>477</v>
      </c>
      <c r="C12" s="713">
        <v>59649.11</v>
      </c>
      <c r="D12" s="713"/>
      <c r="E12" s="711"/>
      <c r="F12" s="711"/>
      <c r="G12" s="711"/>
      <c r="H12" s="712">
        <f t="shared" si="0"/>
        <v>59649.11</v>
      </c>
    </row>
    <row r="13" spans="1:9" s="125" customFormat="1" ht="27" customHeight="1" x14ac:dyDescent="0.25">
      <c r="A13" s="268" t="s">
        <v>316</v>
      </c>
      <c r="B13" s="372" t="s">
        <v>144</v>
      </c>
      <c r="C13" s="713">
        <v>3708279.8</v>
      </c>
      <c r="D13" s="713"/>
      <c r="E13" s="711"/>
      <c r="F13" s="711"/>
      <c r="G13" s="711"/>
      <c r="H13" s="712">
        <f t="shared" si="0"/>
        <v>3708279.8</v>
      </c>
    </row>
    <row r="14" spans="1:9" s="125" customFormat="1" ht="27" customHeight="1" x14ac:dyDescent="0.25">
      <c r="A14" s="267">
        <v>2</v>
      </c>
      <c r="B14" s="374" t="s">
        <v>317</v>
      </c>
      <c r="C14" s="1077"/>
      <c r="D14" s="1077"/>
      <c r="E14" s="1077">
        <f>E15</f>
        <v>36554826.259999998</v>
      </c>
      <c r="F14" s="1077">
        <f>F15</f>
        <v>23924.45</v>
      </c>
      <c r="G14" s="711"/>
      <c r="H14" s="712">
        <f t="shared" si="0"/>
        <v>36578750.710000001</v>
      </c>
    </row>
    <row r="15" spans="1:9" s="125" customFormat="1" ht="42" customHeight="1" x14ac:dyDescent="0.25">
      <c r="A15" s="268" t="s">
        <v>318</v>
      </c>
      <c r="B15" s="372" t="s">
        <v>268</v>
      </c>
      <c r="C15" s="713"/>
      <c r="D15" s="713"/>
      <c r="E15" s="713">
        <v>36554826.259999998</v>
      </c>
      <c r="F15" s="711">
        <v>23924.45</v>
      </c>
      <c r="G15" s="711"/>
      <c r="H15" s="712">
        <f t="shared" si="0"/>
        <v>36578750.710000001</v>
      </c>
    </row>
    <row r="16" spans="1:9" s="125" customFormat="1" ht="30" customHeight="1" x14ac:dyDescent="0.25">
      <c r="A16" s="269" t="s">
        <v>478</v>
      </c>
      <c r="B16" s="375" t="s">
        <v>479</v>
      </c>
      <c r="C16" s="714"/>
      <c r="D16" s="714"/>
      <c r="E16" s="715"/>
      <c r="F16" s="715"/>
      <c r="G16" s="715"/>
      <c r="H16" s="712">
        <f t="shared" si="0"/>
        <v>0</v>
      </c>
    </row>
    <row r="17" spans="1:8" s="125" customFormat="1" ht="33" customHeight="1" thickBot="1" x14ac:dyDescent="0.3">
      <c r="A17" s="270" t="s">
        <v>319</v>
      </c>
      <c r="B17" s="373" t="s">
        <v>145</v>
      </c>
      <c r="C17" s="271"/>
      <c r="D17" s="272"/>
      <c r="E17" s="273"/>
      <c r="F17" s="273"/>
      <c r="G17" s="273"/>
      <c r="H17" s="748">
        <f t="shared" si="0"/>
        <v>0</v>
      </c>
    </row>
    <row r="18" spans="1:8" s="125" customFormat="1" x14ac:dyDescent="0.25"/>
    <row r="19" spans="1:8" s="125" customFormat="1" x14ac:dyDescent="0.25">
      <c r="A19" s="135" t="s">
        <v>141</v>
      </c>
      <c r="B19" s="135"/>
      <c r="C19" s="175"/>
      <c r="E19" s="274"/>
    </row>
    <row r="20" spans="1:8" s="125" customFormat="1" ht="43.5" customHeight="1" x14ac:dyDescent="0.25">
      <c r="A20" s="275"/>
      <c r="B20" s="1762"/>
      <c r="C20" s="1762"/>
      <c r="D20" s="1762"/>
    </row>
    <row r="21" spans="1:8" s="125" customFormat="1" ht="14.25" customHeight="1" x14ac:dyDescent="0.25">
      <c r="A21" s="275"/>
      <c r="B21" s="1762"/>
      <c r="C21" s="1762"/>
      <c r="D21" s="1762"/>
    </row>
    <row r="22" spans="1:8" s="125" customFormat="1" x14ac:dyDescent="0.25">
      <c r="B22" s="227"/>
      <c r="C22" s="226"/>
      <c r="D22" s="226"/>
    </row>
    <row r="23" spans="1:8" ht="61.5" customHeight="1" x14ac:dyDescent="0.2"/>
    <row r="24" spans="1:8" x14ac:dyDescent="0.2">
      <c r="A24" s="123" t="s">
        <v>321</v>
      </c>
      <c r="D24" s="138" t="s">
        <v>304</v>
      </c>
      <c r="F24" s="138"/>
      <c r="G24" s="218"/>
    </row>
    <row r="25" spans="1:8" x14ac:dyDescent="0.2">
      <c r="A25" s="1650" t="s">
        <v>291</v>
      </c>
      <c r="B25" s="1650"/>
      <c r="D25" s="138" t="s">
        <v>290</v>
      </c>
      <c r="E25" s="1761"/>
      <c r="F25" s="1761"/>
      <c r="G25" s="1761"/>
    </row>
  </sheetData>
  <customSheetViews>
    <customSheetView guid="{17151551-8460-47BF-8C20-7FE2DB216614}" showRuler="0">
      <selection activeCell="B14" sqref="B14"/>
      <pageMargins left="0.51181102362204722" right="0.27559055118110237" top="0.21" bottom="0.27559055118110237" header="0.17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I6"/>
      <pageMargins left="0.26" right="0.27559055118110237" top="0.21" bottom="0.27559055118110237" header="0.17" footer="0.19685039370078741"/>
      <pageSetup paperSize="9" scale="85" orientation="landscape" r:id="rId2"/>
      <headerFooter alignWithMargins="0"/>
    </customSheetView>
  </customSheetViews>
  <mergeCells count="8">
    <mergeCell ref="A2:B2"/>
    <mergeCell ref="E25:G25"/>
    <mergeCell ref="A25:B25"/>
    <mergeCell ref="B21:D21"/>
    <mergeCell ref="B20:D20"/>
    <mergeCell ref="A6:H6"/>
    <mergeCell ref="F2:H2"/>
    <mergeCell ref="D2:E2"/>
  </mergeCells>
  <phoneticPr fontId="32" type="noConversion"/>
  <pageMargins left="0.26" right="0.27559055118110237" top="0.21" bottom="0.27559055118110237" header="0.17" footer="0.19685039370078741"/>
  <pageSetup paperSize="9" scale="80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6"/>
  <sheetViews>
    <sheetView zoomScaleNormal="100" workbookViewId="0">
      <selection activeCell="A8" sqref="A8"/>
    </sheetView>
  </sheetViews>
  <sheetFormatPr defaultColWidth="9.140625" defaultRowHeight="15" x14ac:dyDescent="0.2"/>
  <cols>
    <col min="1" max="1" width="4.85546875" style="123" customWidth="1"/>
    <col min="2" max="2" width="36" style="123" customWidth="1"/>
    <col min="3" max="3" width="25.7109375" style="123" customWidth="1"/>
    <col min="4" max="4" width="47.28515625" style="123" customWidth="1"/>
    <col min="5" max="5" width="23.140625" style="123" customWidth="1"/>
    <col min="6" max="6" width="23.42578125" style="123" customWidth="1"/>
    <col min="7" max="7" width="22.5703125" style="123" customWidth="1"/>
    <col min="8" max="8" width="14.42578125" style="123" customWidth="1"/>
    <col min="9" max="9" width="11.140625" style="123" customWidth="1"/>
    <col min="10" max="16384" width="9.140625" style="123"/>
  </cols>
  <sheetData>
    <row r="1" spans="1:18" s="125" customFormat="1" x14ac:dyDescent="0.25">
      <c r="E1" s="229"/>
      <c r="F1" s="1579" t="s">
        <v>269</v>
      </c>
      <c r="G1" s="1579"/>
    </row>
    <row r="2" spans="1:18" s="125" customFormat="1" ht="89.25" customHeight="1" x14ac:dyDescent="0.25">
      <c r="A2" s="1751"/>
      <c r="B2" s="1751"/>
      <c r="C2" s="1766"/>
      <c r="D2" s="1766"/>
      <c r="F2" s="1667" t="s">
        <v>508</v>
      </c>
      <c r="G2" s="1709"/>
      <c r="H2" s="129"/>
      <c r="I2" s="127"/>
      <c r="L2" s="1667"/>
      <c r="M2" s="1667"/>
      <c r="N2" s="1709"/>
    </row>
    <row r="3" spans="1:18" s="136" customFormat="1" x14ac:dyDescent="0.2">
      <c r="A3" s="262" t="s">
        <v>295</v>
      </c>
      <c r="B3" s="262"/>
    </row>
    <row r="4" spans="1:18" x14ac:dyDescent="0.2">
      <c r="A4" s="193" t="s">
        <v>303</v>
      </c>
      <c r="B4" s="193"/>
    </row>
    <row r="5" spans="1:18" ht="13.5" customHeight="1" x14ac:dyDescent="0.2">
      <c r="A5" s="263" t="s">
        <v>289</v>
      </c>
      <c r="B5" s="263"/>
      <c r="H5" s="264"/>
    </row>
    <row r="6" spans="1:18" x14ac:dyDescent="0.2">
      <c r="A6" s="264"/>
    </row>
    <row r="7" spans="1:18" ht="52.5" customHeight="1" x14ac:dyDescent="0.2">
      <c r="A7" s="1744" t="s">
        <v>1071</v>
      </c>
      <c r="B7" s="1744"/>
      <c r="C7" s="1744"/>
      <c r="D7" s="1744"/>
      <c r="E7" s="1744"/>
      <c r="F7" s="1744"/>
      <c r="G7" s="1744"/>
    </row>
    <row r="8" spans="1:18" ht="11.25" customHeight="1" thickBot="1" x14ac:dyDescent="0.25">
      <c r="A8" s="264"/>
    </row>
    <row r="9" spans="1:18" ht="83.25" customHeight="1" thickBot="1" x14ac:dyDescent="0.25">
      <c r="A9" s="276" t="s">
        <v>204</v>
      </c>
      <c r="B9" s="277" t="s">
        <v>486</v>
      </c>
      <c r="C9" s="276" t="s">
        <v>481</v>
      </c>
      <c r="D9" s="277" t="s">
        <v>27</v>
      </c>
      <c r="E9" s="276" t="s">
        <v>482</v>
      </c>
      <c r="F9" s="276" t="s">
        <v>483</v>
      </c>
      <c r="G9" s="276" t="s">
        <v>484</v>
      </c>
    </row>
    <row r="10" spans="1:18" ht="24" customHeight="1" thickBot="1" x14ac:dyDescent="0.25">
      <c r="A10" s="734" t="s">
        <v>955</v>
      </c>
      <c r="B10" s="733" t="s">
        <v>955</v>
      </c>
      <c r="C10" s="733" t="s">
        <v>955</v>
      </c>
      <c r="D10" s="733" t="s">
        <v>955</v>
      </c>
      <c r="E10" s="735" t="s">
        <v>955</v>
      </c>
      <c r="F10" s="735" t="s">
        <v>955</v>
      </c>
      <c r="G10" s="735" t="s">
        <v>955</v>
      </c>
    </row>
    <row r="11" spans="1:18" ht="24" customHeight="1" thickBot="1" x14ac:dyDescent="0.25">
      <c r="A11" s="734" t="s">
        <v>955</v>
      </c>
      <c r="B11" s="733" t="s">
        <v>955</v>
      </c>
      <c r="C11" s="733" t="s">
        <v>955</v>
      </c>
      <c r="D11" s="733" t="s">
        <v>955</v>
      </c>
      <c r="E11" s="735" t="s">
        <v>955</v>
      </c>
      <c r="F11" s="735" t="s">
        <v>955</v>
      </c>
      <c r="G11" s="735" t="s">
        <v>955</v>
      </c>
      <c r="L11" s="1765"/>
      <c r="M11" s="1765"/>
      <c r="N11" s="1765"/>
      <c r="O11" s="1765"/>
      <c r="P11" s="1765"/>
      <c r="Q11" s="1765"/>
      <c r="R11" s="1765"/>
    </row>
    <row r="12" spans="1:18" ht="24" customHeight="1" thickBot="1" x14ac:dyDescent="0.25">
      <c r="A12" s="734" t="s">
        <v>955</v>
      </c>
      <c r="B12" s="733" t="s">
        <v>955</v>
      </c>
      <c r="C12" s="733" t="s">
        <v>955</v>
      </c>
      <c r="D12" s="733" t="s">
        <v>955</v>
      </c>
      <c r="E12" s="735" t="s">
        <v>955</v>
      </c>
      <c r="F12" s="735" t="s">
        <v>955</v>
      </c>
      <c r="G12" s="735" t="s">
        <v>955</v>
      </c>
    </row>
    <row r="13" spans="1:18" ht="24" customHeight="1" thickBot="1" x14ac:dyDescent="0.25">
      <c r="A13" s="734" t="s">
        <v>955</v>
      </c>
      <c r="B13" s="733" t="s">
        <v>955</v>
      </c>
      <c r="C13" s="733" t="s">
        <v>955</v>
      </c>
      <c r="D13" s="733" t="s">
        <v>955</v>
      </c>
      <c r="E13" s="735" t="s">
        <v>955</v>
      </c>
      <c r="F13" s="735" t="s">
        <v>955</v>
      </c>
      <c r="G13" s="735" t="s">
        <v>955</v>
      </c>
    </row>
    <row r="14" spans="1:18" ht="24" customHeight="1" thickBot="1" x14ac:dyDescent="0.25">
      <c r="A14" s="734" t="s">
        <v>955</v>
      </c>
      <c r="B14" s="733" t="s">
        <v>955</v>
      </c>
      <c r="C14" s="733" t="s">
        <v>955</v>
      </c>
      <c r="D14" s="733" t="s">
        <v>955</v>
      </c>
      <c r="E14" s="735" t="s">
        <v>955</v>
      </c>
      <c r="F14" s="735" t="s">
        <v>955</v>
      </c>
      <c r="G14" s="735" t="s">
        <v>955</v>
      </c>
    </row>
    <row r="15" spans="1:18" ht="24" customHeight="1" thickBot="1" x14ac:dyDescent="0.25">
      <c r="A15" s="734" t="s">
        <v>955</v>
      </c>
      <c r="B15" s="733" t="s">
        <v>955</v>
      </c>
      <c r="C15" s="733" t="s">
        <v>955</v>
      </c>
      <c r="D15" s="733" t="s">
        <v>955</v>
      </c>
      <c r="E15" s="735" t="s">
        <v>955</v>
      </c>
      <c r="F15" s="735" t="s">
        <v>955</v>
      </c>
      <c r="G15" s="735" t="s">
        <v>955</v>
      </c>
    </row>
    <row r="16" spans="1:18" ht="24" customHeight="1" thickBot="1" x14ac:dyDescent="0.25">
      <c r="A16" s="734" t="s">
        <v>955</v>
      </c>
      <c r="B16" s="733" t="s">
        <v>955</v>
      </c>
      <c r="C16" s="733" t="s">
        <v>955</v>
      </c>
      <c r="D16" s="733" t="s">
        <v>955</v>
      </c>
      <c r="E16" s="735" t="s">
        <v>955</v>
      </c>
      <c r="F16" s="735" t="s">
        <v>955</v>
      </c>
      <c r="G16" s="735" t="s">
        <v>955</v>
      </c>
    </row>
    <row r="17" spans="1:7" ht="24" customHeight="1" thickBot="1" x14ac:dyDescent="0.25">
      <c r="A17" s="734" t="s">
        <v>955</v>
      </c>
      <c r="B17" s="733" t="s">
        <v>955</v>
      </c>
      <c r="C17" s="733" t="s">
        <v>955</v>
      </c>
      <c r="D17" s="733" t="s">
        <v>955</v>
      </c>
      <c r="E17" s="735" t="s">
        <v>955</v>
      </c>
      <c r="F17" s="735" t="s">
        <v>955</v>
      </c>
      <c r="G17" s="735" t="s">
        <v>955</v>
      </c>
    </row>
    <row r="18" spans="1:7" ht="24" customHeight="1" thickBot="1" x14ac:dyDescent="0.25">
      <c r="A18" s="734" t="s">
        <v>955</v>
      </c>
      <c r="B18" s="733" t="s">
        <v>955</v>
      </c>
      <c r="C18" s="733" t="s">
        <v>955</v>
      </c>
      <c r="D18" s="733" t="s">
        <v>955</v>
      </c>
      <c r="E18" s="735" t="s">
        <v>955</v>
      </c>
      <c r="F18" s="735" t="s">
        <v>955</v>
      </c>
      <c r="G18" s="735" t="s">
        <v>955</v>
      </c>
    </row>
    <row r="19" spans="1:7" ht="24" customHeight="1" thickBot="1" x14ac:dyDescent="0.25">
      <c r="A19" s="734" t="s">
        <v>955</v>
      </c>
      <c r="B19" s="733" t="s">
        <v>955</v>
      </c>
      <c r="C19" s="733" t="s">
        <v>955</v>
      </c>
      <c r="D19" s="733" t="s">
        <v>955</v>
      </c>
      <c r="E19" s="735" t="s">
        <v>955</v>
      </c>
      <c r="F19" s="735" t="s">
        <v>955</v>
      </c>
      <c r="G19" s="735" t="s">
        <v>955</v>
      </c>
    </row>
    <row r="20" spans="1:7" ht="24" customHeight="1" thickBot="1" x14ac:dyDescent="0.25">
      <c r="A20" s="734" t="s">
        <v>955</v>
      </c>
      <c r="B20" s="733" t="s">
        <v>955</v>
      </c>
      <c r="C20" s="733" t="s">
        <v>955</v>
      </c>
      <c r="D20" s="733" t="s">
        <v>955</v>
      </c>
      <c r="E20" s="735" t="s">
        <v>955</v>
      </c>
      <c r="F20" s="735" t="s">
        <v>955</v>
      </c>
      <c r="G20" s="735" t="s">
        <v>955</v>
      </c>
    </row>
    <row r="21" spans="1:7" ht="24" customHeight="1" thickBot="1" x14ac:dyDescent="0.25">
      <c r="A21" s="1764" t="s">
        <v>336</v>
      </c>
      <c r="B21" s="1764"/>
      <c r="C21" s="280"/>
      <c r="D21" s="280"/>
      <c r="E21" s="281">
        <f>SUM(E10:E20)</f>
        <v>0</v>
      </c>
      <c r="F21" s="280"/>
      <c r="G21" s="280"/>
    </row>
    <row r="23" spans="1:7" x14ac:dyDescent="0.2">
      <c r="A23" s="123" t="s">
        <v>485</v>
      </c>
    </row>
    <row r="25" spans="1:7" ht="12.75" customHeight="1" x14ac:dyDescent="0.2">
      <c r="A25" s="123" t="s">
        <v>322</v>
      </c>
      <c r="E25" s="138" t="s">
        <v>304</v>
      </c>
      <c r="F25" s="1761"/>
      <c r="G25" s="1761"/>
    </row>
    <row r="26" spans="1:7" ht="12.75" customHeight="1" x14ac:dyDescent="0.2">
      <c r="A26" s="126" t="s">
        <v>320</v>
      </c>
      <c r="B26" s="126"/>
      <c r="E26" s="138" t="s">
        <v>290</v>
      </c>
      <c r="F26" s="1763"/>
      <c r="G26" s="1763"/>
    </row>
  </sheetData>
  <mergeCells count="10">
    <mergeCell ref="F25:G25"/>
    <mergeCell ref="F26:G26"/>
    <mergeCell ref="L2:N2"/>
    <mergeCell ref="F2:G2"/>
    <mergeCell ref="F1:G1"/>
    <mergeCell ref="A7:G7"/>
    <mergeCell ref="A21:B21"/>
    <mergeCell ref="A2:B2"/>
    <mergeCell ref="L11:R11"/>
    <mergeCell ref="C2:D2"/>
  </mergeCells>
  <pageMargins left="0" right="0" top="0.35433070866141736" bottom="0.35433070866141736" header="0.31496062992125984" footer="0.31496062992125984"/>
  <pageSetup paperSize="9" scale="78" orientation="landscape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6"/>
  <sheetViews>
    <sheetView topLeftCell="A4" zoomScaleNormal="100" workbookViewId="0">
      <selection activeCell="G25" sqref="G25:I25"/>
    </sheetView>
  </sheetViews>
  <sheetFormatPr defaultColWidth="9.140625" defaultRowHeight="15" x14ac:dyDescent="0.2"/>
  <cols>
    <col min="1" max="1" width="4.85546875" style="123" customWidth="1"/>
    <col min="2" max="2" width="36" style="123" customWidth="1"/>
    <col min="3" max="3" width="28.5703125" style="123" customWidth="1"/>
    <col min="4" max="4" width="44.42578125" style="123" customWidth="1"/>
    <col min="5" max="5" width="16.140625" style="123" customWidth="1"/>
    <col min="6" max="6" width="14.42578125" style="123" customWidth="1"/>
    <col min="7" max="7" width="15.28515625" style="123" customWidth="1"/>
    <col min="8" max="8" width="15.5703125" style="123" customWidth="1"/>
    <col min="9" max="9" width="18.28515625" style="123" customWidth="1"/>
    <col min="10" max="10" width="2.7109375" style="123" customWidth="1"/>
    <col min="11" max="16384" width="9.140625" style="123"/>
  </cols>
  <sheetData>
    <row r="1" spans="1:16" s="125" customFormat="1" x14ac:dyDescent="0.25">
      <c r="E1" s="229"/>
      <c r="G1" s="124" t="s">
        <v>502</v>
      </c>
      <c r="H1" s="124"/>
      <c r="I1" s="124"/>
    </row>
    <row r="2" spans="1:16" s="125" customFormat="1" ht="74.25" customHeight="1" x14ac:dyDescent="0.25">
      <c r="A2" s="1751"/>
      <c r="B2" s="1751"/>
      <c r="C2" s="1766"/>
      <c r="D2" s="1766"/>
      <c r="G2" s="1667" t="s">
        <v>508</v>
      </c>
      <c r="H2" s="1709"/>
      <c r="I2" s="1709"/>
      <c r="J2" s="127"/>
      <c r="N2" s="1667"/>
      <c r="O2" s="1709"/>
      <c r="P2" s="1709"/>
    </row>
    <row r="3" spans="1:16" s="136" customFormat="1" x14ac:dyDescent="0.2">
      <c r="A3" s="262" t="s">
        <v>295</v>
      </c>
      <c r="B3" s="262"/>
    </row>
    <row r="4" spans="1:16" x14ac:dyDescent="0.2">
      <c r="A4" s="193" t="s">
        <v>303</v>
      </c>
      <c r="B4" s="193"/>
    </row>
    <row r="5" spans="1:16" ht="13.5" customHeight="1" x14ac:dyDescent="0.2">
      <c r="A5" s="263" t="s">
        <v>289</v>
      </c>
      <c r="B5" s="263"/>
      <c r="J5" s="264"/>
    </row>
    <row r="6" spans="1:16" x14ac:dyDescent="0.2">
      <c r="A6" s="264"/>
    </row>
    <row r="7" spans="1:16" ht="52.5" customHeight="1" x14ac:dyDescent="0.2">
      <c r="A7" s="1744" t="s">
        <v>1072</v>
      </c>
      <c r="B7" s="1744"/>
      <c r="C7" s="1744"/>
      <c r="D7" s="1744"/>
      <c r="E7" s="1744"/>
      <c r="F7" s="1744"/>
      <c r="G7" s="1744"/>
      <c r="H7" s="1744"/>
      <c r="I7" s="1744"/>
    </row>
    <row r="8" spans="1:16" ht="11.25" customHeight="1" thickBot="1" x14ac:dyDescent="0.25">
      <c r="A8" s="264"/>
    </row>
    <row r="9" spans="1:16" ht="83.25" customHeight="1" thickBot="1" x14ac:dyDescent="0.25">
      <c r="A9" s="276" t="s">
        <v>204</v>
      </c>
      <c r="B9" s="277" t="s">
        <v>480</v>
      </c>
      <c r="C9" s="276" t="s">
        <v>487</v>
      </c>
      <c r="D9" s="277" t="s">
        <v>27</v>
      </c>
      <c r="E9" s="276" t="s">
        <v>28</v>
      </c>
      <c r="F9" s="276" t="s">
        <v>488</v>
      </c>
      <c r="G9" s="276" t="s">
        <v>489</v>
      </c>
      <c r="H9" s="276" t="s">
        <v>490</v>
      </c>
      <c r="I9" s="276" t="s">
        <v>29</v>
      </c>
    </row>
    <row r="10" spans="1:16" ht="24" customHeight="1" thickBot="1" x14ac:dyDescent="0.25">
      <c r="A10" s="734" t="s">
        <v>955</v>
      </c>
      <c r="B10" s="736" t="s">
        <v>955</v>
      </c>
      <c r="C10" s="733" t="s">
        <v>955</v>
      </c>
      <c r="D10" s="733" t="s">
        <v>955</v>
      </c>
      <c r="E10" s="735" t="s">
        <v>955</v>
      </c>
      <c r="F10" s="735" t="s">
        <v>955</v>
      </c>
      <c r="G10" s="735" t="s">
        <v>955</v>
      </c>
      <c r="H10" s="735" t="s">
        <v>955</v>
      </c>
      <c r="I10" s="733" t="s">
        <v>955</v>
      </c>
    </row>
    <row r="11" spans="1:16" ht="24" customHeight="1" thickBot="1" x14ac:dyDescent="0.25">
      <c r="A11" s="734" t="s">
        <v>955</v>
      </c>
      <c r="B11" s="736" t="s">
        <v>955</v>
      </c>
      <c r="C11" s="733" t="s">
        <v>955</v>
      </c>
      <c r="D11" s="733" t="s">
        <v>955</v>
      </c>
      <c r="E11" s="735" t="s">
        <v>955</v>
      </c>
      <c r="F11" s="735" t="s">
        <v>955</v>
      </c>
      <c r="G11" s="735" t="s">
        <v>955</v>
      </c>
      <c r="H11" s="735" t="s">
        <v>955</v>
      </c>
      <c r="I11" s="733" t="s">
        <v>955</v>
      </c>
    </row>
    <row r="12" spans="1:16" ht="24" customHeight="1" thickBot="1" x14ac:dyDescent="0.25">
      <c r="A12" s="734" t="s">
        <v>955</v>
      </c>
      <c r="B12" s="736" t="s">
        <v>955</v>
      </c>
      <c r="C12" s="733" t="s">
        <v>955</v>
      </c>
      <c r="D12" s="733" t="s">
        <v>955</v>
      </c>
      <c r="E12" s="735" t="s">
        <v>955</v>
      </c>
      <c r="F12" s="735" t="s">
        <v>955</v>
      </c>
      <c r="G12" s="735" t="s">
        <v>955</v>
      </c>
      <c r="H12" s="735" t="s">
        <v>955</v>
      </c>
      <c r="I12" s="733" t="s">
        <v>955</v>
      </c>
    </row>
    <row r="13" spans="1:16" ht="24" customHeight="1" thickBot="1" x14ac:dyDescent="0.25">
      <c r="A13" s="734" t="s">
        <v>955</v>
      </c>
      <c r="B13" s="736" t="s">
        <v>955</v>
      </c>
      <c r="C13" s="733" t="s">
        <v>955</v>
      </c>
      <c r="D13" s="733" t="s">
        <v>955</v>
      </c>
      <c r="E13" s="735" t="s">
        <v>955</v>
      </c>
      <c r="F13" s="735" t="s">
        <v>955</v>
      </c>
      <c r="G13" s="735" t="s">
        <v>955</v>
      </c>
      <c r="H13" s="735" t="s">
        <v>955</v>
      </c>
      <c r="I13" s="733" t="s">
        <v>955</v>
      </c>
    </row>
    <row r="14" spans="1:16" ht="24" customHeight="1" thickBot="1" x14ac:dyDescent="0.25">
      <c r="A14" s="734" t="s">
        <v>955</v>
      </c>
      <c r="B14" s="736" t="s">
        <v>955</v>
      </c>
      <c r="C14" s="733" t="s">
        <v>955</v>
      </c>
      <c r="D14" s="733" t="s">
        <v>955</v>
      </c>
      <c r="E14" s="735" t="s">
        <v>955</v>
      </c>
      <c r="F14" s="735" t="s">
        <v>955</v>
      </c>
      <c r="G14" s="735" t="s">
        <v>955</v>
      </c>
      <c r="H14" s="735" t="s">
        <v>955</v>
      </c>
      <c r="I14" s="733" t="s">
        <v>955</v>
      </c>
    </row>
    <row r="15" spans="1:16" ht="24" customHeight="1" thickBot="1" x14ac:dyDescent="0.25">
      <c r="A15" s="734" t="s">
        <v>955</v>
      </c>
      <c r="B15" s="736" t="s">
        <v>955</v>
      </c>
      <c r="C15" s="733" t="s">
        <v>955</v>
      </c>
      <c r="D15" s="733" t="s">
        <v>955</v>
      </c>
      <c r="E15" s="735" t="s">
        <v>955</v>
      </c>
      <c r="F15" s="735" t="s">
        <v>955</v>
      </c>
      <c r="G15" s="735" t="s">
        <v>955</v>
      </c>
      <c r="H15" s="735" t="s">
        <v>955</v>
      </c>
      <c r="I15" s="733" t="s">
        <v>955</v>
      </c>
    </row>
    <row r="16" spans="1:16" ht="24" customHeight="1" thickBot="1" x14ac:dyDescent="0.25">
      <c r="A16" s="734" t="s">
        <v>955</v>
      </c>
      <c r="B16" s="736" t="s">
        <v>955</v>
      </c>
      <c r="C16" s="733" t="s">
        <v>955</v>
      </c>
      <c r="D16" s="733" t="s">
        <v>955</v>
      </c>
      <c r="E16" s="735" t="s">
        <v>955</v>
      </c>
      <c r="F16" s="735" t="s">
        <v>955</v>
      </c>
      <c r="G16" s="735" t="s">
        <v>955</v>
      </c>
      <c r="H16" s="735" t="s">
        <v>955</v>
      </c>
      <c r="I16" s="733" t="s">
        <v>955</v>
      </c>
    </row>
    <row r="17" spans="1:9" ht="24" customHeight="1" thickBot="1" x14ac:dyDescent="0.25">
      <c r="A17" s="734" t="s">
        <v>955</v>
      </c>
      <c r="B17" s="736" t="s">
        <v>955</v>
      </c>
      <c r="C17" s="733" t="s">
        <v>955</v>
      </c>
      <c r="D17" s="733" t="s">
        <v>955</v>
      </c>
      <c r="E17" s="735" t="s">
        <v>955</v>
      </c>
      <c r="F17" s="735" t="s">
        <v>955</v>
      </c>
      <c r="G17" s="735" t="s">
        <v>955</v>
      </c>
      <c r="H17" s="735" t="s">
        <v>955</v>
      </c>
      <c r="I17" s="733" t="s">
        <v>955</v>
      </c>
    </row>
    <row r="18" spans="1:9" ht="24" customHeight="1" thickBot="1" x14ac:dyDescent="0.25">
      <c r="A18" s="734" t="s">
        <v>955</v>
      </c>
      <c r="B18" s="736" t="s">
        <v>955</v>
      </c>
      <c r="C18" s="733" t="s">
        <v>955</v>
      </c>
      <c r="D18" s="733" t="s">
        <v>955</v>
      </c>
      <c r="E18" s="735" t="s">
        <v>955</v>
      </c>
      <c r="F18" s="735" t="s">
        <v>955</v>
      </c>
      <c r="G18" s="735" t="s">
        <v>955</v>
      </c>
      <c r="H18" s="735" t="s">
        <v>955</v>
      </c>
      <c r="I18" s="733" t="s">
        <v>955</v>
      </c>
    </row>
    <row r="19" spans="1:9" ht="24" customHeight="1" thickBot="1" x14ac:dyDescent="0.25">
      <c r="A19" s="734" t="s">
        <v>955</v>
      </c>
      <c r="B19" s="736" t="s">
        <v>955</v>
      </c>
      <c r="C19" s="733" t="s">
        <v>955</v>
      </c>
      <c r="D19" s="733" t="s">
        <v>955</v>
      </c>
      <c r="E19" s="735" t="s">
        <v>955</v>
      </c>
      <c r="F19" s="735" t="s">
        <v>955</v>
      </c>
      <c r="G19" s="735" t="s">
        <v>955</v>
      </c>
      <c r="H19" s="735" t="s">
        <v>955</v>
      </c>
      <c r="I19" s="733" t="s">
        <v>955</v>
      </c>
    </row>
    <row r="20" spans="1:9" ht="24" customHeight="1" thickBot="1" x14ac:dyDescent="0.25">
      <c r="A20" s="734" t="s">
        <v>955</v>
      </c>
      <c r="B20" s="736" t="s">
        <v>955</v>
      </c>
      <c r="C20" s="733" t="s">
        <v>955</v>
      </c>
      <c r="D20" s="733" t="s">
        <v>955</v>
      </c>
      <c r="E20" s="735" t="s">
        <v>955</v>
      </c>
      <c r="F20" s="735" t="s">
        <v>955</v>
      </c>
      <c r="G20" s="735" t="s">
        <v>955</v>
      </c>
      <c r="H20" s="735" t="s">
        <v>955</v>
      </c>
      <c r="I20" s="733" t="s">
        <v>955</v>
      </c>
    </row>
    <row r="21" spans="1:9" ht="24" customHeight="1" thickBot="1" x14ac:dyDescent="0.25">
      <c r="A21" s="1764" t="s">
        <v>336</v>
      </c>
      <c r="B21" s="1764"/>
      <c r="C21" s="280"/>
      <c r="D21" s="280"/>
      <c r="E21" s="281">
        <f>SUM(E10:E20)</f>
        <v>0</v>
      </c>
      <c r="F21" s="282"/>
      <c r="G21" s="280"/>
      <c r="H21" s="280"/>
      <c r="I21" s="282"/>
    </row>
    <row r="23" spans="1:9" x14ac:dyDescent="0.2">
      <c r="A23" s="123" t="s">
        <v>491</v>
      </c>
    </row>
    <row r="25" spans="1:9" ht="12.75" customHeight="1" x14ac:dyDescent="0.2">
      <c r="A25" s="123" t="s">
        <v>322</v>
      </c>
      <c r="E25" s="138" t="s">
        <v>304</v>
      </c>
      <c r="G25" s="1761"/>
      <c r="H25" s="1761"/>
      <c r="I25" s="1761"/>
    </row>
    <row r="26" spans="1:9" ht="12.75" customHeight="1" x14ac:dyDescent="0.2">
      <c r="A26" s="126" t="s">
        <v>320</v>
      </c>
      <c r="B26" s="126"/>
      <c r="E26" s="138" t="s">
        <v>290</v>
      </c>
      <c r="G26" s="1763"/>
      <c r="H26" s="1763"/>
      <c r="I26" s="1763"/>
    </row>
  </sheetData>
  <mergeCells count="8">
    <mergeCell ref="G26:I26"/>
    <mergeCell ref="A7:I7"/>
    <mergeCell ref="A21:B21"/>
    <mergeCell ref="N2:P2"/>
    <mergeCell ref="G2:I2"/>
    <mergeCell ref="A2:B2"/>
    <mergeCell ref="C2:D2"/>
    <mergeCell ref="G25:I25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4"/>
  <sheetViews>
    <sheetView zoomScale="90" zoomScaleNormal="90" workbookViewId="0">
      <selection activeCell="E13" sqref="E13"/>
    </sheetView>
  </sheetViews>
  <sheetFormatPr defaultColWidth="9.140625" defaultRowHeight="15" x14ac:dyDescent="0.2"/>
  <cols>
    <col min="1" max="1" width="4.85546875" style="123" customWidth="1"/>
    <col min="2" max="2" width="25.7109375" style="123" customWidth="1"/>
    <col min="3" max="4" width="14.7109375" style="123" customWidth="1"/>
    <col min="5" max="5" width="18.7109375" style="123" customWidth="1"/>
    <col min="6" max="6" width="23.42578125" style="123" customWidth="1"/>
    <col min="7" max="7" width="23" style="123" customWidth="1"/>
    <col min="8" max="8" width="24.7109375" style="123" customWidth="1"/>
    <col min="9" max="9" width="22.5703125" style="123" customWidth="1"/>
    <col min="10" max="16384" width="9.140625" style="123"/>
  </cols>
  <sheetData>
    <row r="1" spans="1:14" s="125" customFormat="1" x14ac:dyDescent="0.25">
      <c r="G1" s="124" t="s">
        <v>330</v>
      </c>
      <c r="H1" s="124"/>
      <c r="I1" s="124"/>
    </row>
    <row r="2" spans="1:14" s="125" customFormat="1" ht="53.25" customHeight="1" x14ac:dyDescent="0.25">
      <c r="A2" s="1767"/>
      <c r="B2" s="1767"/>
      <c r="C2" s="1766"/>
      <c r="D2" s="1766"/>
      <c r="E2" s="1766"/>
      <c r="G2" s="1667" t="s">
        <v>508</v>
      </c>
      <c r="H2" s="1667"/>
      <c r="I2" s="1667"/>
      <c r="L2" s="1667"/>
      <c r="M2" s="1709"/>
      <c r="N2" s="1709"/>
    </row>
    <row r="3" spans="1:14" s="136" customFormat="1" x14ac:dyDescent="0.2">
      <c r="A3" s="262" t="s">
        <v>295</v>
      </c>
      <c r="B3" s="262"/>
    </row>
    <row r="4" spans="1:14" x14ac:dyDescent="0.2">
      <c r="A4" s="193" t="s">
        <v>303</v>
      </c>
      <c r="B4" s="193"/>
    </row>
    <row r="5" spans="1:14" ht="13.5" customHeight="1" x14ac:dyDescent="0.2">
      <c r="A5" s="263" t="s">
        <v>289</v>
      </c>
      <c r="B5" s="263"/>
    </row>
    <row r="6" spans="1:14" x14ac:dyDescent="0.2">
      <c r="A6" s="264"/>
    </row>
    <row r="7" spans="1:14" ht="103.5" customHeight="1" x14ac:dyDescent="0.2">
      <c r="A7" s="1744" t="s">
        <v>1075</v>
      </c>
      <c r="B7" s="1744"/>
      <c r="C7" s="1744"/>
      <c r="D7" s="1744"/>
      <c r="E7" s="1744"/>
      <c r="F7" s="1744"/>
      <c r="G7" s="1744"/>
      <c r="H7" s="1744"/>
      <c r="I7" s="1744"/>
    </row>
    <row r="8" spans="1:14" ht="11.25" customHeight="1" thickBot="1" x14ac:dyDescent="0.25">
      <c r="A8" s="264"/>
    </row>
    <row r="9" spans="1:14" ht="83.25" customHeight="1" thickBot="1" x14ac:dyDescent="0.25">
      <c r="A9" s="276" t="s">
        <v>204</v>
      </c>
      <c r="B9" s="277" t="s">
        <v>305</v>
      </c>
      <c r="C9" s="276" t="s">
        <v>293</v>
      </c>
      <c r="D9" s="277" t="s">
        <v>704</v>
      </c>
      <c r="E9" s="276" t="s">
        <v>294</v>
      </c>
      <c r="F9" s="276" t="s">
        <v>1076</v>
      </c>
      <c r="G9" s="276" t="s">
        <v>495</v>
      </c>
      <c r="H9" s="276" t="s">
        <v>292</v>
      </c>
      <c r="I9" s="276" t="s">
        <v>676</v>
      </c>
    </row>
    <row r="10" spans="1:14" ht="30.75" customHeight="1" thickBot="1" x14ac:dyDescent="0.25">
      <c r="A10" s="749">
        <v>1</v>
      </c>
      <c r="B10" s="485" t="s">
        <v>894</v>
      </c>
      <c r="C10" s="486" t="s">
        <v>895</v>
      </c>
      <c r="D10" s="485">
        <v>1158</v>
      </c>
      <c r="E10" s="485" t="s">
        <v>1077</v>
      </c>
      <c r="F10" s="487">
        <v>3187.63</v>
      </c>
      <c r="G10" s="485" t="s">
        <v>896</v>
      </c>
      <c r="H10" s="485" t="s">
        <v>897</v>
      </c>
      <c r="I10" s="485"/>
    </row>
    <row r="11" spans="1:14" ht="33" customHeight="1" thickBot="1" x14ac:dyDescent="0.25">
      <c r="A11" s="749">
        <v>2</v>
      </c>
      <c r="B11" s="485" t="s">
        <v>899</v>
      </c>
      <c r="C11" s="485" t="s">
        <v>900</v>
      </c>
      <c r="D11" s="485">
        <v>732</v>
      </c>
      <c r="E11" s="485" t="s">
        <v>901</v>
      </c>
      <c r="F11" s="487">
        <v>995.56</v>
      </c>
      <c r="G11" s="485" t="s">
        <v>902</v>
      </c>
      <c r="H11" s="485" t="s">
        <v>903</v>
      </c>
      <c r="I11" s="485"/>
    </row>
    <row r="12" spans="1:14" ht="33" customHeight="1" thickBot="1" x14ac:dyDescent="0.25">
      <c r="A12" s="749">
        <v>3</v>
      </c>
      <c r="B12" s="485" t="s">
        <v>904</v>
      </c>
      <c r="C12" s="485">
        <v>4</v>
      </c>
      <c r="D12" s="485">
        <v>562</v>
      </c>
      <c r="E12" s="485" t="s">
        <v>1038</v>
      </c>
      <c r="F12" s="487">
        <v>1934</v>
      </c>
      <c r="G12" s="485" t="s">
        <v>905</v>
      </c>
      <c r="H12" s="485" t="s">
        <v>906</v>
      </c>
      <c r="I12" s="485"/>
    </row>
    <row r="13" spans="1:14" ht="24.75" customHeight="1" thickBot="1" x14ac:dyDescent="0.25">
      <c r="A13" s="749">
        <v>4</v>
      </c>
      <c r="B13" s="485" t="s">
        <v>1023</v>
      </c>
      <c r="C13" s="485">
        <v>27</v>
      </c>
      <c r="D13" s="485">
        <v>812</v>
      </c>
      <c r="E13" s="485" t="s">
        <v>1024</v>
      </c>
      <c r="F13" s="487">
        <v>5680</v>
      </c>
      <c r="G13" s="485" t="s">
        <v>1025</v>
      </c>
      <c r="H13" s="485" t="s">
        <v>1026</v>
      </c>
      <c r="I13" s="485"/>
    </row>
    <row r="14" spans="1:14" ht="24" customHeight="1" thickBot="1" x14ac:dyDescent="0.25">
      <c r="A14" s="749">
        <v>5</v>
      </c>
      <c r="B14" s="485" t="s">
        <v>1027</v>
      </c>
      <c r="C14" s="485" t="s">
        <v>1028</v>
      </c>
      <c r="D14" s="485" t="s">
        <v>1029</v>
      </c>
      <c r="E14" s="485" t="s">
        <v>1030</v>
      </c>
      <c r="F14" s="487">
        <f>4851+13930+2800</f>
        <v>21581</v>
      </c>
      <c r="G14" s="485" t="s">
        <v>1031</v>
      </c>
      <c r="H14" s="485" t="s">
        <v>1032</v>
      </c>
      <c r="I14" s="278"/>
    </row>
    <row r="15" spans="1:14" ht="24" customHeight="1" thickBot="1" x14ac:dyDescent="0.25">
      <c r="A15" s="749"/>
      <c r="B15" s="485"/>
      <c r="C15" s="485"/>
      <c r="D15" s="485"/>
      <c r="E15" s="485"/>
      <c r="F15" s="487"/>
      <c r="G15" s="485"/>
      <c r="H15" s="485"/>
      <c r="I15" s="279"/>
    </row>
    <row r="16" spans="1:14" ht="24" customHeight="1" thickBot="1" x14ac:dyDescent="0.25">
      <c r="A16" s="749"/>
      <c r="B16" s="485"/>
      <c r="C16" s="485"/>
      <c r="D16" s="485"/>
      <c r="E16" s="485"/>
      <c r="F16" s="487"/>
      <c r="G16" s="485"/>
      <c r="H16" s="485"/>
      <c r="I16" s="279"/>
    </row>
    <row r="17" spans="1:9" ht="24" customHeight="1" thickBot="1" x14ac:dyDescent="0.25">
      <c r="A17" s="749"/>
      <c r="B17" s="485"/>
      <c r="C17" s="485"/>
      <c r="D17" s="485"/>
      <c r="E17" s="485"/>
      <c r="F17" s="487"/>
      <c r="G17" s="485"/>
      <c r="H17" s="485"/>
      <c r="I17" s="279"/>
    </row>
    <row r="18" spans="1:9" ht="24" customHeight="1" thickBot="1" x14ac:dyDescent="0.25">
      <c r="A18" s="1764" t="s">
        <v>336</v>
      </c>
      <c r="B18" s="1764"/>
      <c r="C18" s="280"/>
      <c r="D18" s="280"/>
      <c r="E18" s="280"/>
      <c r="F18" s="283">
        <f>SUM(F10:F17)</f>
        <v>33378.19</v>
      </c>
      <c r="G18" s="283"/>
      <c r="H18" s="282"/>
      <c r="I18" s="282"/>
    </row>
    <row r="19" spans="1:9" ht="24" customHeight="1" x14ac:dyDescent="0.2">
      <c r="A19" s="123" t="s">
        <v>492</v>
      </c>
    </row>
    <row r="23" spans="1:9" ht="12.75" customHeight="1" x14ac:dyDescent="0.2">
      <c r="A23" s="123" t="s">
        <v>322</v>
      </c>
      <c r="E23" s="138" t="s">
        <v>304</v>
      </c>
      <c r="G23" s="1761"/>
      <c r="H23" s="1761"/>
      <c r="I23" s="1761"/>
    </row>
    <row r="24" spans="1:9" ht="12.75" customHeight="1" x14ac:dyDescent="0.2">
      <c r="A24" s="126" t="s">
        <v>320</v>
      </c>
      <c r="B24" s="126"/>
      <c r="E24" s="138" t="s">
        <v>290</v>
      </c>
      <c r="G24" s="1763"/>
      <c r="H24" s="1763"/>
      <c r="I24" s="1763"/>
    </row>
  </sheetData>
  <mergeCells count="8">
    <mergeCell ref="G24:I24"/>
    <mergeCell ref="G2:I2"/>
    <mergeCell ref="L2:N2"/>
    <mergeCell ref="A7:I7"/>
    <mergeCell ref="A2:B2"/>
    <mergeCell ref="C2:E2"/>
    <mergeCell ref="G23:I23"/>
    <mergeCell ref="A18:B18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U67"/>
  <sheetViews>
    <sheetView topLeftCell="A38" zoomScale="80" zoomScaleNormal="80" workbookViewId="0">
      <selection activeCell="B65" sqref="B65:D65"/>
    </sheetView>
  </sheetViews>
  <sheetFormatPr defaultColWidth="9.140625" defaultRowHeight="12.75" x14ac:dyDescent="0.2"/>
  <cols>
    <col min="1" max="1" width="1.85546875" style="579" customWidth="1"/>
    <col min="2" max="2" width="4.28515625" style="579" customWidth="1"/>
    <col min="3" max="3" width="10.42578125" style="579" customWidth="1"/>
    <col min="4" max="4" width="21.7109375" style="579" customWidth="1"/>
    <col min="5" max="5" width="11.7109375" style="579" bestFit="1" customWidth="1"/>
    <col min="6" max="6" width="8.28515625" style="579" customWidth="1"/>
    <col min="7" max="7" width="2.7109375" style="579" hidden="1" customWidth="1"/>
    <col min="8" max="8" width="0" style="579" hidden="1" customWidth="1"/>
    <col min="9" max="9" width="21.7109375" style="579" customWidth="1"/>
    <col min="10" max="10" width="9.140625" style="579" hidden="1" customWidth="1"/>
    <col min="11" max="11" width="22.85546875" style="579" customWidth="1"/>
    <col min="12" max="12" width="0" style="579" hidden="1" customWidth="1"/>
    <col min="13" max="13" width="15.28515625" style="579" customWidth="1"/>
    <col min="14" max="14" width="17.7109375" style="739" bestFit="1" customWidth="1"/>
    <col min="15" max="15" width="16.28515625" style="579" bestFit="1" customWidth="1"/>
    <col min="16" max="16" width="21" style="579" bestFit="1" customWidth="1"/>
    <col min="17" max="17" width="9.140625" style="579" customWidth="1"/>
    <col min="18" max="18" width="9.140625" style="579"/>
    <col min="19" max="19" width="14.5703125" style="579" customWidth="1"/>
    <col min="20" max="20" width="13" style="579" bestFit="1" customWidth="1"/>
    <col min="21" max="253" width="9.140625" style="579"/>
    <col min="254" max="254" width="1.85546875" style="579" customWidth="1"/>
    <col min="255" max="255" width="4.28515625" style="579" customWidth="1"/>
    <col min="256" max="256" width="10.42578125" style="579" customWidth="1"/>
    <col min="257" max="257" width="21.7109375" style="579" customWidth="1"/>
    <col min="258" max="258" width="11.7109375" style="579" bestFit="1" customWidth="1"/>
    <col min="259" max="259" width="8.28515625" style="579" customWidth="1"/>
    <col min="260" max="261" width="0" style="579" hidden="1" customWidth="1"/>
    <col min="262" max="262" width="21.7109375" style="579" customWidth="1"/>
    <col min="263" max="263" width="0" style="579" hidden="1" customWidth="1"/>
    <col min="264" max="264" width="22.85546875" style="579" customWidth="1"/>
    <col min="265" max="265" width="0" style="579" hidden="1" customWidth="1"/>
    <col min="266" max="266" width="15.28515625" style="579" customWidth="1"/>
    <col min="267" max="267" width="9.140625" style="579"/>
    <col min="268" max="273" width="0" style="579" hidden="1" customWidth="1"/>
    <col min="274" max="509" width="9.140625" style="579"/>
    <col min="510" max="510" width="1.85546875" style="579" customWidth="1"/>
    <col min="511" max="511" width="4.28515625" style="579" customWidth="1"/>
    <col min="512" max="512" width="10.42578125" style="579" customWidth="1"/>
    <col min="513" max="513" width="21.7109375" style="579" customWidth="1"/>
    <col min="514" max="514" width="11.7109375" style="579" bestFit="1" customWidth="1"/>
    <col min="515" max="515" width="8.28515625" style="579" customWidth="1"/>
    <col min="516" max="517" width="0" style="579" hidden="1" customWidth="1"/>
    <col min="518" max="518" width="21.7109375" style="579" customWidth="1"/>
    <col min="519" max="519" width="0" style="579" hidden="1" customWidth="1"/>
    <col min="520" max="520" width="22.85546875" style="579" customWidth="1"/>
    <col min="521" max="521" width="0" style="579" hidden="1" customWidth="1"/>
    <col min="522" max="522" width="15.28515625" style="579" customWidth="1"/>
    <col min="523" max="523" width="9.140625" style="579"/>
    <col min="524" max="529" width="0" style="579" hidden="1" customWidth="1"/>
    <col min="530" max="765" width="9.140625" style="579"/>
    <col min="766" max="766" width="1.85546875" style="579" customWidth="1"/>
    <col min="767" max="767" width="4.28515625" style="579" customWidth="1"/>
    <col min="768" max="768" width="10.42578125" style="579" customWidth="1"/>
    <col min="769" max="769" width="21.7109375" style="579" customWidth="1"/>
    <col min="770" max="770" width="11.7109375" style="579" bestFit="1" customWidth="1"/>
    <col min="771" max="771" width="8.28515625" style="579" customWidth="1"/>
    <col min="772" max="773" width="0" style="579" hidden="1" customWidth="1"/>
    <col min="774" max="774" width="21.7109375" style="579" customWidth="1"/>
    <col min="775" max="775" width="0" style="579" hidden="1" customWidth="1"/>
    <col min="776" max="776" width="22.85546875" style="579" customWidth="1"/>
    <col min="777" max="777" width="0" style="579" hidden="1" customWidth="1"/>
    <col min="778" max="778" width="15.28515625" style="579" customWidth="1"/>
    <col min="779" max="779" width="9.140625" style="579"/>
    <col min="780" max="785" width="0" style="579" hidden="1" customWidth="1"/>
    <col min="786" max="1021" width="9.140625" style="579"/>
    <col min="1022" max="1022" width="1.85546875" style="579" customWidth="1"/>
    <col min="1023" max="1023" width="4.28515625" style="579" customWidth="1"/>
    <col min="1024" max="1024" width="10.42578125" style="579" customWidth="1"/>
    <col min="1025" max="1025" width="21.7109375" style="579" customWidth="1"/>
    <col min="1026" max="1026" width="11.7109375" style="579" bestFit="1" customWidth="1"/>
    <col min="1027" max="1027" width="8.28515625" style="579" customWidth="1"/>
    <col min="1028" max="1029" width="0" style="579" hidden="1" customWidth="1"/>
    <col min="1030" max="1030" width="21.7109375" style="579" customWidth="1"/>
    <col min="1031" max="1031" width="0" style="579" hidden="1" customWidth="1"/>
    <col min="1032" max="1032" width="22.85546875" style="579" customWidth="1"/>
    <col min="1033" max="1033" width="0" style="579" hidden="1" customWidth="1"/>
    <col min="1034" max="1034" width="15.28515625" style="579" customWidth="1"/>
    <col min="1035" max="1035" width="9.140625" style="579"/>
    <col min="1036" max="1041" width="0" style="579" hidden="1" customWidth="1"/>
    <col min="1042" max="1277" width="9.140625" style="579"/>
    <col min="1278" max="1278" width="1.85546875" style="579" customWidth="1"/>
    <col min="1279" max="1279" width="4.28515625" style="579" customWidth="1"/>
    <col min="1280" max="1280" width="10.42578125" style="579" customWidth="1"/>
    <col min="1281" max="1281" width="21.7109375" style="579" customWidth="1"/>
    <col min="1282" max="1282" width="11.7109375" style="579" bestFit="1" customWidth="1"/>
    <col min="1283" max="1283" width="8.28515625" style="579" customWidth="1"/>
    <col min="1284" max="1285" width="0" style="579" hidden="1" customWidth="1"/>
    <col min="1286" max="1286" width="21.7109375" style="579" customWidth="1"/>
    <col min="1287" max="1287" width="0" style="579" hidden="1" customWidth="1"/>
    <col min="1288" max="1288" width="22.85546875" style="579" customWidth="1"/>
    <col min="1289" max="1289" width="0" style="579" hidden="1" customWidth="1"/>
    <col min="1290" max="1290" width="15.28515625" style="579" customWidth="1"/>
    <col min="1291" max="1291" width="9.140625" style="579"/>
    <col min="1292" max="1297" width="0" style="579" hidden="1" customWidth="1"/>
    <col min="1298" max="1533" width="9.140625" style="579"/>
    <col min="1534" max="1534" width="1.85546875" style="579" customWidth="1"/>
    <col min="1535" max="1535" width="4.28515625" style="579" customWidth="1"/>
    <col min="1536" max="1536" width="10.42578125" style="579" customWidth="1"/>
    <col min="1537" max="1537" width="21.7109375" style="579" customWidth="1"/>
    <col min="1538" max="1538" width="11.7109375" style="579" bestFit="1" customWidth="1"/>
    <col min="1539" max="1539" width="8.28515625" style="579" customWidth="1"/>
    <col min="1540" max="1541" width="0" style="579" hidden="1" customWidth="1"/>
    <col min="1542" max="1542" width="21.7109375" style="579" customWidth="1"/>
    <col min="1543" max="1543" width="0" style="579" hidden="1" customWidth="1"/>
    <col min="1544" max="1544" width="22.85546875" style="579" customWidth="1"/>
    <col min="1545" max="1545" width="0" style="579" hidden="1" customWidth="1"/>
    <col min="1546" max="1546" width="15.28515625" style="579" customWidth="1"/>
    <col min="1547" max="1547" width="9.140625" style="579"/>
    <col min="1548" max="1553" width="0" style="579" hidden="1" customWidth="1"/>
    <col min="1554" max="1789" width="9.140625" style="579"/>
    <col min="1790" max="1790" width="1.85546875" style="579" customWidth="1"/>
    <col min="1791" max="1791" width="4.28515625" style="579" customWidth="1"/>
    <col min="1792" max="1792" width="10.42578125" style="579" customWidth="1"/>
    <col min="1793" max="1793" width="21.7109375" style="579" customWidth="1"/>
    <col min="1794" max="1794" width="11.7109375" style="579" bestFit="1" customWidth="1"/>
    <col min="1795" max="1795" width="8.28515625" style="579" customWidth="1"/>
    <col min="1796" max="1797" width="0" style="579" hidden="1" customWidth="1"/>
    <col min="1798" max="1798" width="21.7109375" style="579" customWidth="1"/>
    <col min="1799" max="1799" width="0" style="579" hidden="1" customWidth="1"/>
    <col min="1800" max="1800" width="22.85546875" style="579" customWidth="1"/>
    <col min="1801" max="1801" width="0" style="579" hidden="1" customWidth="1"/>
    <col min="1802" max="1802" width="15.28515625" style="579" customWidth="1"/>
    <col min="1803" max="1803" width="9.140625" style="579"/>
    <col min="1804" max="1809" width="0" style="579" hidden="1" customWidth="1"/>
    <col min="1810" max="2045" width="9.140625" style="579"/>
    <col min="2046" max="2046" width="1.85546875" style="579" customWidth="1"/>
    <col min="2047" max="2047" width="4.28515625" style="579" customWidth="1"/>
    <col min="2048" max="2048" width="10.42578125" style="579" customWidth="1"/>
    <col min="2049" max="2049" width="21.7109375" style="579" customWidth="1"/>
    <col min="2050" max="2050" width="11.7109375" style="579" bestFit="1" customWidth="1"/>
    <col min="2051" max="2051" width="8.28515625" style="579" customWidth="1"/>
    <col min="2052" max="2053" width="0" style="579" hidden="1" customWidth="1"/>
    <col min="2054" max="2054" width="21.7109375" style="579" customWidth="1"/>
    <col min="2055" max="2055" width="0" style="579" hidden="1" customWidth="1"/>
    <col min="2056" max="2056" width="22.85546875" style="579" customWidth="1"/>
    <col min="2057" max="2057" width="0" style="579" hidden="1" customWidth="1"/>
    <col min="2058" max="2058" width="15.28515625" style="579" customWidth="1"/>
    <col min="2059" max="2059" width="9.140625" style="579"/>
    <col min="2060" max="2065" width="0" style="579" hidden="1" customWidth="1"/>
    <col min="2066" max="2301" width="9.140625" style="579"/>
    <col min="2302" max="2302" width="1.85546875" style="579" customWidth="1"/>
    <col min="2303" max="2303" width="4.28515625" style="579" customWidth="1"/>
    <col min="2304" max="2304" width="10.42578125" style="579" customWidth="1"/>
    <col min="2305" max="2305" width="21.7109375" style="579" customWidth="1"/>
    <col min="2306" max="2306" width="11.7109375" style="579" bestFit="1" customWidth="1"/>
    <col min="2307" max="2307" width="8.28515625" style="579" customWidth="1"/>
    <col min="2308" max="2309" width="0" style="579" hidden="1" customWidth="1"/>
    <col min="2310" max="2310" width="21.7109375" style="579" customWidth="1"/>
    <col min="2311" max="2311" width="0" style="579" hidden="1" customWidth="1"/>
    <col min="2312" max="2312" width="22.85546875" style="579" customWidth="1"/>
    <col min="2313" max="2313" width="0" style="579" hidden="1" customWidth="1"/>
    <col min="2314" max="2314" width="15.28515625" style="579" customWidth="1"/>
    <col min="2315" max="2315" width="9.140625" style="579"/>
    <col min="2316" max="2321" width="0" style="579" hidden="1" customWidth="1"/>
    <col min="2322" max="2557" width="9.140625" style="579"/>
    <col min="2558" max="2558" width="1.85546875" style="579" customWidth="1"/>
    <col min="2559" max="2559" width="4.28515625" style="579" customWidth="1"/>
    <col min="2560" max="2560" width="10.42578125" style="579" customWidth="1"/>
    <col min="2561" max="2561" width="21.7109375" style="579" customWidth="1"/>
    <col min="2562" max="2562" width="11.7109375" style="579" bestFit="1" customWidth="1"/>
    <col min="2563" max="2563" width="8.28515625" style="579" customWidth="1"/>
    <col min="2564" max="2565" width="0" style="579" hidden="1" customWidth="1"/>
    <col min="2566" max="2566" width="21.7109375" style="579" customWidth="1"/>
    <col min="2567" max="2567" width="0" style="579" hidden="1" customWidth="1"/>
    <col min="2568" max="2568" width="22.85546875" style="579" customWidth="1"/>
    <col min="2569" max="2569" width="0" style="579" hidden="1" customWidth="1"/>
    <col min="2570" max="2570" width="15.28515625" style="579" customWidth="1"/>
    <col min="2571" max="2571" width="9.140625" style="579"/>
    <col min="2572" max="2577" width="0" style="579" hidden="1" customWidth="1"/>
    <col min="2578" max="2813" width="9.140625" style="579"/>
    <col min="2814" max="2814" width="1.85546875" style="579" customWidth="1"/>
    <col min="2815" max="2815" width="4.28515625" style="579" customWidth="1"/>
    <col min="2816" max="2816" width="10.42578125" style="579" customWidth="1"/>
    <col min="2817" max="2817" width="21.7109375" style="579" customWidth="1"/>
    <col min="2818" max="2818" width="11.7109375" style="579" bestFit="1" customWidth="1"/>
    <col min="2819" max="2819" width="8.28515625" style="579" customWidth="1"/>
    <col min="2820" max="2821" width="0" style="579" hidden="1" customWidth="1"/>
    <col min="2822" max="2822" width="21.7109375" style="579" customWidth="1"/>
    <col min="2823" max="2823" width="0" style="579" hidden="1" customWidth="1"/>
    <col min="2824" max="2824" width="22.85546875" style="579" customWidth="1"/>
    <col min="2825" max="2825" width="0" style="579" hidden="1" customWidth="1"/>
    <col min="2826" max="2826" width="15.28515625" style="579" customWidth="1"/>
    <col min="2827" max="2827" width="9.140625" style="579"/>
    <col min="2828" max="2833" width="0" style="579" hidden="1" customWidth="1"/>
    <col min="2834" max="3069" width="9.140625" style="579"/>
    <col min="3070" max="3070" width="1.85546875" style="579" customWidth="1"/>
    <col min="3071" max="3071" width="4.28515625" style="579" customWidth="1"/>
    <col min="3072" max="3072" width="10.42578125" style="579" customWidth="1"/>
    <col min="3073" max="3073" width="21.7109375" style="579" customWidth="1"/>
    <col min="3074" max="3074" width="11.7109375" style="579" bestFit="1" customWidth="1"/>
    <col min="3075" max="3075" width="8.28515625" style="579" customWidth="1"/>
    <col min="3076" max="3077" width="0" style="579" hidden="1" customWidth="1"/>
    <col min="3078" max="3078" width="21.7109375" style="579" customWidth="1"/>
    <col min="3079" max="3079" width="0" style="579" hidden="1" customWidth="1"/>
    <col min="3080" max="3080" width="22.85546875" style="579" customWidth="1"/>
    <col min="3081" max="3081" width="0" style="579" hidden="1" customWidth="1"/>
    <col min="3082" max="3082" width="15.28515625" style="579" customWidth="1"/>
    <col min="3083" max="3083" width="9.140625" style="579"/>
    <col min="3084" max="3089" width="0" style="579" hidden="1" customWidth="1"/>
    <col min="3090" max="3325" width="9.140625" style="579"/>
    <col min="3326" max="3326" width="1.85546875" style="579" customWidth="1"/>
    <col min="3327" max="3327" width="4.28515625" style="579" customWidth="1"/>
    <col min="3328" max="3328" width="10.42578125" style="579" customWidth="1"/>
    <col min="3329" max="3329" width="21.7109375" style="579" customWidth="1"/>
    <col min="3330" max="3330" width="11.7109375" style="579" bestFit="1" customWidth="1"/>
    <col min="3331" max="3331" width="8.28515625" style="579" customWidth="1"/>
    <col min="3332" max="3333" width="0" style="579" hidden="1" customWidth="1"/>
    <col min="3334" max="3334" width="21.7109375" style="579" customWidth="1"/>
    <col min="3335" max="3335" width="0" style="579" hidden="1" customWidth="1"/>
    <col min="3336" max="3336" width="22.85546875" style="579" customWidth="1"/>
    <col min="3337" max="3337" width="0" style="579" hidden="1" customWidth="1"/>
    <col min="3338" max="3338" width="15.28515625" style="579" customWidth="1"/>
    <col min="3339" max="3339" width="9.140625" style="579"/>
    <col min="3340" max="3345" width="0" style="579" hidden="1" customWidth="1"/>
    <col min="3346" max="3581" width="9.140625" style="579"/>
    <col min="3582" max="3582" width="1.85546875" style="579" customWidth="1"/>
    <col min="3583" max="3583" width="4.28515625" style="579" customWidth="1"/>
    <col min="3584" max="3584" width="10.42578125" style="579" customWidth="1"/>
    <col min="3585" max="3585" width="21.7109375" style="579" customWidth="1"/>
    <col min="3586" max="3586" width="11.7109375" style="579" bestFit="1" customWidth="1"/>
    <col min="3587" max="3587" width="8.28515625" style="579" customWidth="1"/>
    <col min="3588" max="3589" width="0" style="579" hidden="1" customWidth="1"/>
    <col min="3590" max="3590" width="21.7109375" style="579" customWidth="1"/>
    <col min="3591" max="3591" width="0" style="579" hidden="1" customWidth="1"/>
    <col min="3592" max="3592" width="22.85546875" style="579" customWidth="1"/>
    <col min="3593" max="3593" width="0" style="579" hidden="1" customWidth="1"/>
    <col min="3594" max="3594" width="15.28515625" style="579" customWidth="1"/>
    <col min="3595" max="3595" width="9.140625" style="579"/>
    <col min="3596" max="3601" width="0" style="579" hidden="1" customWidth="1"/>
    <col min="3602" max="3837" width="9.140625" style="579"/>
    <col min="3838" max="3838" width="1.85546875" style="579" customWidth="1"/>
    <col min="3839" max="3839" width="4.28515625" style="579" customWidth="1"/>
    <col min="3840" max="3840" width="10.42578125" style="579" customWidth="1"/>
    <col min="3841" max="3841" width="21.7109375" style="579" customWidth="1"/>
    <col min="3842" max="3842" width="11.7109375" style="579" bestFit="1" customWidth="1"/>
    <col min="3843" max="3843" width="8.28515625" style="579" customWidth="1"/>
    <col min="3844" max="3845" width="0" style="579" hidden="1" customWidth="1"/>
    <col min="3846" max="3846" width="21.7109375" style="579" customWidth="1"/>
    <col min="3847" max="3847" width="0" style="579" hidden="1" customWidth="1"/>
    <col min="3848" max="3848" width="22.85546875" style="579" customWidth="1"/>
    <col min="3849" max="3849" width="0" style="579" hidden="1" customWidth="1"/>
    <col min="3850" max="3850" width="15.28515625" style="579" customWidth="1"/>
    <col min="3851" max="3851" width="9.140625" style="579"/>
    <col min="3852" max="3857" width="0" style="579" hidden="1" customWidth="1"/>
    <col min="3858" max="4093" width="9.140625" style="579"/>
    <col min="4094" max="4094" width="1.85546875" style="579" customWidth="1"/>
    <col min="4095" max="4095" width="4.28515625" style="579" customWidth="1"/>
    <col min="4096" max="4096" width="10.42578125" style="579" customWidth="1"/>
    <col min="4097" max="4097" width="21.7109375" style="579" customWidth="1"/>
    <col min="4098" max="4098" width="11.7109375" style="579" bestFit="1" customWidth="1"/>
    <col min="4099" max="4099" width="8.28515625" style="579" customWidth="1"/>
    <col min="4100" max="4101" width="0" style="579" hidden="1" customWidth="1"/>
    <col min="4102" max="4102" width="21.7109375" style="579" customWidth="1"/>
    <col min="4103" max="4103" width="0" style="579" hidden="1" customWidth="1"/>
    <col min="4104" max="4104" width="22.85546875" style="579" customWidth="1"/>
    <col min="4105" max="4105" width="0" style="579" hidden="1" customWidth="1"/>
    <col min="4106" max="4106" width="15.28515625" style="579" customWidth="1"/>
    <col min="4107" max="4107" width="9.140625" style="579"/>
    <col min="4108" max="4113" width="0" style="579" hidden="1" customWidth="1"/>
    <col min="4114" max="4349" width="9.140625" style="579"/>
    <col min="4350" max="4350" width="1.85546875" style="579" customWidth="1"/>
    <col min="4351" max="4351" width="4.28515625" style="579" customWidth="1"/>
    <col min="4352" max="4352" width="10.42578125" style="579" customWidth="1"/>
    <col min="4353" max="4353" width="21.7109375" style="579" customWidth="1"/>
    <col min="4354" max="4354" width="11.7109375" style="579" bestFit="1" customWidth="1"/>
    <col min="4355" max="4355" width="8.28515625" style="579" customWidth="1"/>
    <col min="4356" max="4357" width="0" style="579" hidden="1" customWidth="1"/>
    <col min="4358" max="4358" width="21.7109375" style="579" customWidth="1"/>
    <col min="4359" max="4359" width="0" style="579" hidden="1" customWidth="1"/>
    <col min="4360" max="4360" width="22.85546875" style="579" customWidth="1"/>
    <col min="4361" max="4361" width="0" style="579" hidden="1" customWidth="1"/>
    <col min="4362" max="4362" width="15.28515625" style="579" customWidth="1"/>
    <col min="4363" max="4363" width="9.140625" style="579"/>
    <col min="4364" max="4369" width="0" style="579" hidden="1" customWidth="1"/>
    <col min="4370" max="4605" width="9.140625" style="579"/>
    <col min="4606" max="4606" width="1.85546875" style="579" customWidth="1"/>
    <col min="4607" max="4607" width="4.28515625" style="579" customWidth="1"/>
    <col min="4608" max="4608" width="10.42578125" style="579" customWidth="1"/>
    <col min="4609" max="4609" width="21.7109375" style="579" customWidth="1"/>
    <col min="4610" max="4610" width="11.7109375" style="579" bestFit="1" customWidth="1"/>
    <col min="4611" max="4611" width="8.28515625" style="579" customWidth="1"/>
    <col min="4612" max="4613" width="0" style="579" hidden="1" customWidth="1"/>
    <col min="4614" max="4614" width="21.7109375" style="579" customWidth="1"/>
    <col min="4615" max="4615" width="0" style="579" hidden="1" customWidth="1"/>
    <col min="4616" max="4616" width="22.85546875" style="579" customWidth="1"/>
    <col min="4617" max="4617" width="0" style="579" hidden="1" customWidth="1"/>
    <col min="4618" max="4618" width="15.28515625" style="579" customWidth="1"/>
    <col min="4619" max="4619" width="9.140625" style="579"/>
    <col min="4620" max="4625" width="0" style="579" hidden="1" customWidth="1"/>
    <col min="4626" max="4861" width="9.140625" style="579"/>
    <col min="4862" max="4862" width="1.85546875" style="579" customWidth="1"/>
    <col min="4863" max="4863" width="4.28515625" style="579" customWidth="1"/>
    <col min="4864" max="4864" width="10.42578125" style="579" customWidth="1"/>
    <col min="4865" max="4865" width="21.7109375" style="579" customWidth="1"/>
    <col min="4866" max="4866" width="11.7109375" style="579" bestFit="1" customWidth="1"/>
    <col min="4867" max="4867" width="8.28515625" style="579" customWidth="1"/>
    <col min="4868" max="4869" width="0" style="579" hidden="1" customWidth="1"/>
    <col min="4870" max="4870" width="21.7109375" style="579" customWidth="1"/>
    <col min="4871" max="4871" width="0" style="579" hidden="1" customWidth="1"/>
    <col min="4872" max="4872" width="22.85546875" style="579" customWidth="1"/>
    <col min="4873" max="4873" width="0" style="579" hidden="1" customWidth="1"/>
    <col min="4874" max="4874" width="15.28515625" style="579" customWidth="1"/>
    <col min="4875" max="4875" width="9.140625" style="579"/>
    <col min="4876" max="4881" width="0" style="579" hidden="1" customWidth="1"/>
    <col min="4882" max="5117" width="9.140625" style="579"/>
    <col min="5118" max="5118" width="1.85546875" style="579" customWidth="1"/>
    <col min="5119" max="5119" width="4.28515625" style="579" customWidth="1"/>
    <col min="5120" max="5120" width="10.42578125" style="579" customWidth="1"/>
    <col min="5121" max="5121" width="21.7109375" style="579" customWidth="1"/>
    <col min="5122" max="5122" width="11.7109375" style="579" bestFit="1" customWidth="1"/>
    <col min="5123" max="5123" width="8.28515625" style="579" customWidth="1"/>
    <col min="5124" max="5125" width="0" style="579" hidden="1" customWidth="1"/>
    <col min="5126" max="5126" width="21.7109375" style="579" customWidth="1"/>
    <col min="5127" max="5127" width="0" style="579" hidden="1" customWidth="1"/>
    <col min="5128" max="5128" width="22.85546875" style="579" customWidth="1"/>
    <col min="5129" max="5129" width="0" style="579" hidden="1" customWidth="1"/>
    <col min="5130" max="5130" width="15.28515625" style="579" customWidth="1"/>
    <col min="5131" max="5131" width="9.140625" style="579"/>
    <col min="5132" max="5137" width="0" style="579" hidden="1" customWidth="1"/>
    <col min="5138" max="5373" width="9.140625" style="579"/>
    <col min="5374" max="5374" width="1.85546875" style="579" customWidth="1"/>
    <col min="5375" max="5375" width="4.28515625" style="579" customWidth="1"/>
    <col min="5376" max="5376" width="10.42578125" style="579" customWidth="1"/>
    <col min="5377" max="5377" width="21.7109375" style="579" customWidth="1"/>
    <col min="5378" max="5378" width="11.7109375" style="579" bestFit="1" customWidth="1"/>
    <col min="5379" max="5379" width="8.28515625" style="579" customWidth="1"/>
    <col min="5380" max="5381" width="0" style="579" hidden="1" customWidth="1"/>
    <col min="5382" max="5382" width="21.7109375" style="579" customWidth="1"/>
    <col min="5383" max="5383" width="0" style="579" hidden="1" customWidth="1"/>
    <col min="5384" max="5384" width="22.85546875" style="579" customWidth="1"/>
    <col min="5385" max="5385" width="0" style="579" hidden="1" customWidth="1"/>
    <col min="5386" max="5386" width="15.28515625" style="579" customWidth="1"/>
    <col min="5387" max="5387" width="9.140625" style="579"/>
    <col min="5388" max="5393" width="0" style="579" hidden="1" customWidth="1"/>
    <col min="5394" max="5629" width="9.140625" style="579"/>
    <col min="5630" max="5630" width="1.85546875" style="579" customWidth="1"/>
    <col min="5631" max="5631" width="4.28515625" style="579" customWidth="1"/>
    <col min="5632" max="5632" width="10.42578125" style="579" customWidth="1"/>
    <col min="5633" max="5633" width="21.7109375" style="579" customWidth="1"/>
    <col min="5634" max="5634" width="11.7109375" style="579" bestFit="1" customWidth="1"/>
    <col min="5635" max="5635" width="8.28515625" style="579" customWidth="1"/>
    <col min="5636" max="5637" width="0" style="579" hidden="1" customWidth="1"/>
    <col min="5638" max="5638" width="21.7109375" style="579" customWidth="1"/>
    <col min="5639" max="5639" width="0" style="579" hidden="1" customWidth="1"/>
    <col min="5640" max="5640" width="22.85546875" style="579" customWidth="1"/>
    <col min="5641" max="5641" width="0" style="579" hidden="1" customWidth="1"/>
    <col min="5642" max="5642" width="15.28515625" style="579" customWidth="1"/>
    <col min="5643" max="5643" width="9.140625" style="579"/>
    <col min="5644" max="5649" width="0" style="579" hidden="1" customWidth="1"/>
    <col min="5650" max="5885" width="9.140625" style="579"/>
    <col min="5886" max="5886" width="1.85546875" style="579" customWidth="1"/>
    <col min="5887" max="5887" width="4.28515625" style="579" customWidth="1"/>
    <col min="5888" max="5888" width="10.42578125" style="579" customWidth="1"/>
    <col min="5889" max="5889" width="21.7109375" style="579" customWidth="1"/>
    <col min="5890" max="5890" width="11.7109375" style="579" bestFit="1" customWidth="1"/>
    <col min="5891" max="5891" width="8.28515625" style="579" customWidth="1"/>
    <col min="5892" max="5893" width="0" style="579" hidden="1" customWidth="1"/>
    <col min="5894" max="5894" width="21.7109375" style="579" customWidth="1"/>
    <col min="5895" max="5895" width="0" style="579" hidden="1" customWidth="1"/>
    <col min="5896" max="5896" width="22.85546875" style="579" customWidth="1"/>
    <col min="5897" max="5897" width="0" style="579" hidden="1" customWidth="1"/>
    <col min="5898" max="5898" width="15.28515625" style="579" customWidth="1"/>
    <col min="5899" max="5899" width="9.140625" style="579"/>
    <col min="5900" max="5905" width="0" style="579" hidden="1" customWidth="1"/>
    <col min="5906" max="6141" width="9.140625" style="579"/>
    <col min="6142" max="6142" width="1.85546875" style="579" customWidth="1"/>
    <col min="6143" max="6143" width="4.28515625" style="579" customWidth="1"/>
    <col min="6144" max="6144" width="10.42578125" style="579" customWidth="1"/>
    <col min="6145" max="6145" width="21.7109375" style="579" customWidth="1"/>
    <col min="6146" max="6146" width="11.7109375" style="579" bestFit="1" customWidth="1"/>
    <col min="6147" max="6147" width="8.28515625" style="579" customWidth="1"/>
    <col min="6148" max="6149" width="0" style="579" hidden="1" customWidth="1"/>
    <col min="6150" max="6150" width="21.7109375" style="579" customWidth="1"/>
    <col min="6151" max="6151" width="0" style="579" hidden="1" customWidth="1"/>
    <col min="6152" max="6152" width="22.85546875" style="579" customWidth="1"/>
    <col min="6153" max="6153" width="0" style="579" hidden="1" customWidth="1"/>
    <col min="6154" max="6154" width="15.28515625" style="579" customWidth="1"/>
    <col min="6155" max="6155" width="9.140625" style="579"/>
    <col min="6156" max="6161" width="0" style="579" hidden="1" customWidth="1"/>
    <col min="6162" max="6397" width="9.140625" style="579"/>
    <col min="6398" max="6398" width="1.85546875" style="579" customWidth="1"/>
    <col min="6399" max="6399" width="4.28515625" style="579" customWidth="1"/>
    <col min="6400" max="6400" width="10.42578125" style="579" customWidth="1"/>
    <col min="6401" max="6401" width="21.7109375" style="579" customWidth="1"/>
    <col min="6402" max="6402" width="11.7109375" style="579" bestFit="1" customWidth="1"/>
    <col min="6403" max="6403" width="8.28515625" style="579" customWidth="1"/>
    <col min="6404" max="6405" width="0" style="579" hidden="1" customWidth="1"/>
    <col min="6406" max="6406" width="21.7109375" style="579" customWidth="1"/>
    <col min="6407" max="6407" width="0" style="579" hidden="1" customWidth="1"/>
    <col min="6408" max="6408" width="22.85546875" style="579" customWidth="1"/>
    <col min="6409" max="6409" width="0" style="579" hidden="1" customWidth="1"/>
    <col min="6410" max="6410" width="15.28515625" style="579" customWidth="1"/>
    <col min="6411" max="6411" width="9.140625" style="579"/>
    <col min="6412" max="6417" width="0" style="579" hidden="1" customWidth="1"/>
    <col min="6418" max="6653" width="9.140625" style="579"/>
    <col min="6654" max="6654" width="1.85546875" style="579" customWidth="1"/>
    <col min="6655" max="6655" width="4.28515625" style="579" customWidth="1"/>
    <col min="6656" max="6656" width="10.42578125" style="579" customWidth="1"/>
    <col min="6657" max="6657" width="21.7109375" style="579" customWidth="1"/>
    <col min="6658" max="6658" width="11.7109375" style="579" bestFit="1" customWidth="1"/>
    <col min="6659" max="6659" width="8.28515625" style="579" customWidth="1"/>
    <col min="6660" max="6661" width="0" style="579" hidden="1" customWidth="1"/>
    <col min="6662" max="6662" width="21.7109375" style="579" customWidth="1"/>
    <col min="6663" max="6663" width="0" style="579" hidden="1" customWidth="1"/>
    <col min="6664" max="6664" width="22.85546875" style="579" customWidth="1"/>
    <col min="6665" max="6665" width="0" style="579" hidden="1" customWidth="1"/>
    <col min="6666" max="6666" width="15.28515625" style="579" customWidth="1"/>
    <col min="6667" max="6667" width="9.140625" style="579"/>
    <col min="6668" max="6673" width="0" style="579" hidden="1" customWidth="1"/>
    <col min="6674" max="6909" width="9.140625" style="579"/>
    <col min="6910" max="6910" width="1.85546875" style="579" customWidth="1"/>
    <col min="6911" max="6911" width="4.28515625" style="579" customWidth="1"/>
    <col min="6912" max="6912" width="10.42578125" style="579" customWidth="1"/>
    <col min="6913" max="6913" width="21.7109375" style="579" customWidth="1"/>
    <col min="6914" max="6914" width="11.7109375" style="579" bestFit="1" customWidth="1"/>
    <col min="6915" max="6915" width="8.28515625" style="579" customWidth="1"/>
    <col min="6916" max="6917" width="0" style="579" hidden="1" customWidth="1"/>
    <col min="6918" max="6918" width="21.7109375" style="579" customWidth="1"/>
    <col min="6919" max="6919" width="0" style="579" hidden="1" customWidth="1"/>
    <col min="6920" max="6920" width="22.85546875" style="579" customWidth="1"/>
    <col min="6921" max="6921" width="0" style="579" hidden="1" customWidth="1"/>
    <col min="6922" max="6922" width="15.28515625" style="579" customWidth="1"/>
    <col min="6923" max="6923" width="9.140625" style="579"/>
    <col min="6924" max="6929" width="0" style="579" hidden="1" customWidth="1"/>
    <col min="6930" max="7165" width="9.140625" style="579"/>
    <col min="7166" max="7166" width="1.85546875" style="579" customWidth="1"/>
    <col min="7167" max="7167" width="4.28515625" style="579" customWidth="1"/>
    <col min="7168" max="7168" width="10.42578125" style="579" customWidth="1"/>
    <col min="7169" max="7169" width="21.7109375" style="579" customWidth="1"/>
    <col min="7170" max="7170" width="11.7109375" style="579" bestFit="1" customWidth="1"/>
    <col min="7171" max="7171" width="8.28515625" style="579" customWidth="1"/>
    <col min="7172" max="7173" width="0" style="579" hidden="1" customWidth="1"/>
    <col min="7174" max="7174" width="21.7109375" style="579" customWidth="1"/>
    <col min="7175" max="7175" width="0" style="579" hidden="1" customWidth="1"/>
    <col min="7176" max="7176" width="22.85546875" style="579" customWidth="1"/>
    <col min="7177" max="7177" width="0" style="579" hidden="1" customWidth="1"/>
    <col min="7178" max="7178" width="15.28515625" style="579" customWidth="1"/>
    <col min="7179" max="7179" width="9.140625" style="579"/>
    <col min="7180" max="7185" width="0" style="579" hidden="1" customWidth="1"/>
    <col min="7186" max="7421" width="9.140625" style="579"/>
    <col min="7422" max="7422" width="1.85546875" style="579" customWidth="1"/>
    <col min="7423" max="7423" width="4.28515625" style="579" customWidth="1"/>
    <col min="7424" max="7424" width="10.42578125" style="579" customWidth="1"/>
    <col min="7425" max="7425" width="21.7109375" style="579" customWidth="1"/>
    <col min="7426" max="7426" width="11.7109375" style="579" bestFit="1" customWidth="1"/>
    <col min="7427" max="7427" width="8.28515625" style="579" customWidth="1"/>
    <col min="7428" max="7429" width="0" style="579" hidden="1" customWidth="1"/>
    <col min="7430" max="7430" width="21.7109375" style="579" customWidth="1"/>
    <col min="7431" max="7431" width="0" style="579" hidden="1" customWidth="1"/>
    <col min="7432" max="7432" width="22.85546875" style="579" customWidth="1"/>
    <col min="7433" max="7433" width="0" style="579" hidden="1" customWidth="1"/>
    <col min="7434" max="7434" width="15.28515625" style="579" customWidth="1"/>
    <col min="7435" max="7435" width="9.140625" style="579"/>
    <col min="7436" max="7441" width="0" style="579" hidden="1" customWidth="1"/>
    <col min="7442" max="7677" width="9.140625" style="579"/>
    <col min="7678" max="7678" width="1.85546875" style="579" customWidth="1"/>
    <col min="7679" max="7679" width="4.28515625" style="579" customWidth="1"/>
    <col min="7680" max="7680" width="10.42578125" style="579" customWidth="1"/>
    <col min="7681" max="7681" width="21.7109375" style="579" customWidth="1"/>
    <col min="7682" max="7682" width="11.7109375" style="579" bestFit="1" customWidth="1"/>
    <col min="7683" max="7683" width="8.28515625" style="579" customWidth="1"/>
    <col min="7684" max="7685" width="0" style="579" hidden="1" customWidth="1"/>
    <col min="7686" max="7686" width="21.7109375" style="579" customWidth="1"/>
    <col min="7687" max="7687" width="0" style="579" hidden="1" customWidth="1"/>
    <col min="7688" max="7688" width="22.85546875" style="579" customWidth="1"/>
    <col min="7689" max="7689" width="0" style="579" hidden="1" customWidth="1"/>
    <col min="7690" max="7690" width="15.28515625" style="579" customWidth="1"/>
    <col min="7691" max="7691" width="9.140625" style="579"/>
    <col min="7692" max="7697" width="0" style="579" hidden="1" customWidth="1"/>
    <col min="7698" max="7933" width="9.140625" style="579"/>
    <col min="7934" max="7934" width="1.85546875" style="579" customWidth="1"/>
    <col min="7935" max="7935" width="4.28515625" style="579" customWidth="1"/>
    <col min="7936" max="7936" width="10.42578125" style="579" customWidth="1"/>
    <col min="7937" max="7937" width="21.7109375" style="579" customWidth="1"/>
    <col min="7938" max="7938" width="11.7109375" style="579" bestFit="1" customWidth="1"/>
    <col min="7939" max="7939" width="8.28515625" style="579" customWidth="1"/>
    <col min="7940" max="7941" width="0" style="579" hidden="1" customWidth="1"/>
    <col min="7942" max="7942" width="21.7109375" style="579" customWidth="1"/>
    <col min="7943" max="7943" width="0" style="579" hidden="1" customWidth="1"/>
    <col min="7944" max="7944" width="22.85546875" style="579" customWidth="1"/>
    <col min="7945" max="7945" width="0" style="579" hidden="1" customWidth="1"/>
    <col min="7946" max="7946" width="15.28515625" style="579" customWidth="1"/>
    <col min="7947" max="7947" width="9.140625" style="579"/>
    <col min="7948" max="7953" width="0" style="579" hidden="1" customWidth="1"/>
    <col min="7954" max="8189" width="9.140625" style="579"/>
    <col min="8190" max="8190" width="1.85546875" style="579" customWidth="1"/>
    <col min="8191" max="8191" width="4.28515625" style="579" customWidth="1"/>
    <col min="8192" max="8192" width="10.42578125" style="579" customWidth="1"/>
    <col min="8193" max="8193" width="21.7109375" style="579" customWidth="1"/>
    <col min="8194" max="8194" width="11.7109375" style="579" bestFit="1" customWidth="1"/>
    <col min="8195" max="8195" width="8.28515625" style="579" customWidth="1"/>
    <col min="8196" max="8197" width="0" style="579" hidden="1" customWidth="1"/>
    <col min="8198" max="8198" width="21.7109375" style="579" customWidth="1"/>
    <col min="8199" max="8199" width="0" style="579" hidden="1" customWidth="1"/>
    <col min="8200" max="8200" width="22.85546875" style="579" customWidth="1"/>
    <col min="8201" max="8201" width="0" style="579" hidden="1" customWidth="1"/>
    <col min="8202" max="8202" width="15.28515625" style="579" customWidth="1"/>
    <col min="8203" max="8203" width="9.140625" style="579"/>
    <col min="8204" max="8209" width="0" style="579" hidden="1" customWidth="1"/>
    <col min="8210" max="8445" width="9.140625" style="579"/>
    <col min="8446" max="8446" width="1.85546875" style="579" customWidth="1"/>
    <col min="8447" max="8447" width="4.28515625" style="579" customWidth="1"/>
    <col min="8448" max="8448" width="10.42578125" style="579" customWidth="1"/>
    <col min="8449" max="8449" width="21.7109375" style="579" customWidth="1"/>
    <col min="8450" max="8450" width="11.7109375" style="579" bestFit="1" customWidth="1"/>
    <col min="8451" max="8451" width="8.28515625" style="579" customWidth="1"/>
    <col min="8452" max="8453" width="0" style="579" hidden="1" customWidth="1"/>
    <col min="8454" max="8454" width="21.7109375" style="579" customWidth="1"/>
    <col min="8455" max="8455" width="0" style="579" hidden="1" customWidth="1"/>
    <col min="8456" max="8456" width="22.85546875" style="579" customWidth="1"/>
    <col min="8457" max="8457" width="0" style="579" hidden="1" customWidth="1"/>
    <col min="8458" max="8458" width="15.28515625" style="579" customWidth="1"/>
    <col min="8459" max="8459" width="9.140625" style="579"/>
    <col min="8460" max="8465" width="0" style="579" hidden="1" customWidth="1"/>
    <col min="8466" max="8701" width="9.140625" style="579"/>
    <col min="8702" max="8702" width="1.85546875" style="579" customWidth="1"/>
    <col min="8703" max="8703" width="4.28515625" style="579" customWidth="1"/>
    <col min="8704" max="8704" width="10.42578125" style="579" customWidth="1"/>
    <col min="8705" max="8705" width="21.7109375" style="579" customWidth="1"/>
    <col min="8706" max="8706" width="11.7109375" style="579" bestFit="1" customWidth="1"/>
    <col min="8707" max="8707" width="8.28515625" style="579" customWidth="1"/>
    <col min="8708" max="8709" width="0" style="579" hidden="1" customWidth="1"/>
    <col min="8710" max="8710" width="21.7109375" style="579" customWidth="1"/>
    <col min="8711" max="8711" width="0" style="579" hidden="1" customWidth="1"/>
    <col min="8712" max="8712" width="22.85546875" style="579" customWidth="1"/>
    <col min="8713" max="8713" width="0" style="579" hidden="1" customWidth="1"/>
    <col min="8714" max="8714" width="15.28515625" style="579" customWidth="1"/>
    <col min="8715" max="8715" width="9.140625" style="579"/>
    <col min="8716" max="8721" width="0" style="579" hidden="1" customWidth="1"/>
    <col min="8722" max="8957" width="9.140625" style="579"/>
    <col min="8958" max="8958" width="1.85546875" style="579" customWidth="1"/>
    <col min="8959" max="8959" width="4.28515625" style="579" customWidth="1"/>
    <col min="8960" max="8960" width="10.42578125" style="579" customWidth="1"/>
    <col min="8961" max="8961" width="21.7109375" style="579" customWidth="1"/>
    <col min="8962" max="8962" width="11.7109375" style="579" bestFit="1" customWidth="1"/>
    <col min="8963" max="8963" width="8.28515625" style="579" customWidth="1"/>
    <col min="8964" max="8965" width="0" style="579" hidden="1" customWidth="1"/>
    <col min="8966" max="8966" width="21.7109375" style="579" customWidth="1"/>
    <col min="8967" max="8967" width="0" style="579" hidden="1" customWidth="1"/>
    <col min="8968" max="8968" width="22.85546875" style="579" customWidth="1"/>
    <col min="8969" max="8969" width="0" style="579" hidden="1" customWidth="1"/>
    <col min="8970" max="8970" width="15.28515625" style="579" customWidth="1"/>
    <col min="8971" max="8971" width="9.140625" style="579"/>
    <col min="8972" max="8977" width="0" style="579" hidden="1" customWidth="1"/>
    <col min="8978" max="9213" width="9.140625" style="579"/>
    <col min="9214" max="9214" width="1.85546875" style="579" customWidth="1"/>
    <col min="9215" max="9215" width="4.28515625" style="579" customWidth="1"/>
    <col min="9216" max="9216" width="10.42578125" style="579" customWidth="1"/>
    <col min="9217" max="9217" width="21.7109375" style="579" customWidth="1"/>
    <col min="9218" max="9218" width="11.7109375" style="579" bestFit="1" customWidth="1"/>
    <col min="9219" max="9219" width="8.28515625" style="579" customWidth="1"/>
    <col min="9220" max="9221" width="0" style="579" hidden="1" customWidth="1"/>
    <col min="9222" max="9222" width="21.7109375" style="579" customWidth="1"/>
    <col min="9223" max="9223" width="0" style="579" hidden="1" customWidth="1"/>
    <col min="9224" max="9224" width="22.85546875" style="579" customWidth="1"/>
    <col min="9225" max="9225" width="0" style="579" hidden="1" customWidth="1"/>
    <col min="9226" max="9226" width="15.28515625" style="579" customWidth="1"/>
    <col min="9227" max="9227" width="9.140625" style="579"/>
    <col min="9228" max="9233" width="0" style="579" hidden="1" customWidth="1"/>
    <col min="9234" max="9469" width="9.140625" style="579"/>
    <col min="9470" max="9470" width="1.85546875" style="579" customWidth="1"/>
    <col min="9471" max="9471" width="4.28515625" style="579" customWidth="1"/>
    <col min="9472" max="9472" width="10.42578125" style="579" customWidth="1"/>
    <col min="9473" max="9473" width="21.7109375" style="579" customWidth="1"/>
    <col min="9474" max="9474" width="11.7109375" style="579" bestFit="1" customWidth="1"/>
    <col min="9475" max="9475" width="8.28515625" style="579" customWidth="1"/>
    <col min="9476" max="9477" width="0" style="579" hidden="1" customWidth="1"/>
    <col min="9478" max="9478" width="21.7109375" style="579" customWidth="1"/>
    <col min="9479" max="9479" width="0" style="579" hidden="1" customWidth="1"/>
    <col min="9480" max="9480" width="22.85546875" style="579" customWidth="1"/>
    <col min="9481" max="9481" width="0" style="579" hidden="1" customWidth="1"/>
    <col min="9482" max="9482" width="15.28515625" style="579" customWidth="1"/>
    <col min="9483" max="9483" width="9.140625" style="579"/>
    <col min="9484" max="9489" width="0" style="579" hidden="1" customWidth="1"/>
    <col min="9490" max="9725" width="9.140625" style="579"/>
    <col min="9726" max="9726" width="1.85546875" style="579" customWidth="1"/>
    <col min="9727" max="9727" width="4.28515625" style="579" customWidth="1"/>
    <col min="9728" max="9728" width="10.42578125" style="579" customWidth="1"/>
    <col min="9729" max="9729" width="21.7109375" style="579" customWidth="1"/>
    <col min="9730" max="9730" width="11.7109375" style="579" bestFit="1" customWidth="1"/>
    <col min="9731" max="9731" width="8.28515625" style="579" customWidth="1"/>
    <col min="9732" max="9733" width="0" style="579" hidden="1" customWidth="1"/>
    <col min="9734" max="9734" width="21.7109375" style="579" customWidth="1"/>
    <col min="9735" max="9735" width="0" style="579" hidden="1" customWidth="1"/>
    <col min="9736" max="9736" width="22.85546875" style="579" customWidth="1"/>
    <col min="9737" max="9737" width="0" style="579" hidden="1" customWidth="1"/>
    <col min="9738" max="9738" width="15.28515625" style="579" customWidth="1"/>
    <col min="9739" max="9739" width="9.140625" style="579"/>
    <col min="9740" max="9745" width="0" style="579" hidden="1" customWidth="1"/>
    <col min="9746" max="9981" width="9.140625" style="579"/>
    <col min="9982" max="9982" width="1.85546875" style="579" customWidth="1"/>
    <col min="9983" max="9983" width="4.28515625" style="579" customWidth="1"/>
    <col min="9984" max="9984" width="10.42578125" style="579" customWidth="1"/>
    <col min="9985" max="9985" width="21.7109375" style="579" customWidth="1"/>
    <col min="9986" max="9986" width="11.7109375" style="579" bestFit="1" customWidth="1"/>
    <col min="9987" max="9987" width="8.28515625" style="579" customWidth="1"/>
    <col min="9988" max="9989" width="0" style="579" hidden="1" customWidth="1"/>
    <col min="9990" max="9990" width="21.7109375" style="579" customWidth="1"/>
    <col min="9991" max="9991" width="0" style="579" hidden="1" customWidth="1"/>
    <col min="9992" max="9992" width="22.85546875" style="579" customWidth="1"/>
    <col min="9993" max="9993" width="0" style="579" hidden="1" customWidth="1"/>
    <col min="9994" max="9994" width="15.28515625" style="579" customWidth="1"/>
    <col min="9995" max="9995" width="9.140625" style="579"/>
    <col min="9996" max="10001" width="0" style="579" hidden="1" customWidth="1"/>
    <col min="10002" max="10237" width="9.140625" style="579"/>
    <col min="10238" max="10238" width="1.85546875" style="579" customWidth="1"/>
    <col min="10239" max="10239" width="4.28515625" style="579" customWidth="1"/>
    <col min="10240" max="10240" width="10.42578125" style="579" customWidth="1"/>
    <col min="10241" max="10241" width="21.7109375" style="579" customWidth="1"/>
    <col min="10242" max="10242" width="11.7109375" style="579" bestFit="1" customWidth="1"/>
    <col min="10243" max="10243" width="8.28515625" style="579" customWidth="1"/>
    <col min="10244" max="10245" width="0" style="579" hidden="1" customWidth="1"/>
    <col min="10246" max="10246" width="21.7109375" style="579" customWidth="1"/>
    <col min="10247" max="10247" width="0" style="579" hidden="1" customWidth="1"/>
    <col min="10248" max="10248" width="22.85546875" style="579" customWidth="1"/>
    <col min="10249" max="10249" width="0" style="579" hidden="1" customWidth="1"/>
    <col min="10250" max="10250" width="15.28515625" style="579" customWidth="1"/>
    <col min="10251" max="10251" width="9.140625" style="579"/>
    <col min="10252" max="10257" width="0" style="579" hidden="1" customWidth="1"/>
    <col min="10258" max="10493" width="9.140625" style="579"/>
    <col min="10494" max="10494" width="1.85546875" style="579" customWidth="1"/>
    <col min="10495" max="10495" width="4.28515625" style="579" customWidth="1"/>
    <col min="10496" max="10496" width="10.42578125" style="579" customWidth="1"/>
    <col min="10497" max="10497" width="21.7109375" style="579" customWidth="1"/>
    <col min="10498" max="10498" width="11.7109375" style="579" bestFit="1" customWidth="1"/>
    <col min="10499" max="10499" width="8.28515625" style="579" customWidth="1"/>
    <col min="10500" max="10501" width="0" style="579" hidden="1" customWidth="1"/>
    <col min="10502" max="10502" width="21.7109375" style="579" customWidth="1"/>
    <col min="10503" max="10503" width="0" style="579" hidden="1" customWidth="1"/>
    <col min="10504" max="10504" width="22.85546875" style="579" customWidth="1"/>
    <col min="10505" max="10505" width="0" style="579" hidden="1" customWidth="1"/>
    <col min="10506" max="10506" width="15.28515625" style="579" customWidth="1"/>
    <col min="10507" max="10507" width="9.140625" style="579"/>
    <col min="10508" max="10513" width="0" style="579" hidden="1" customWidth="1"/>
    <col min="10514" max="10749" width="9.140625" style="579"/>
    <col min="10750" max="10750" width="1.85546875" style="579" customWidth="1"/>
    <col min="10751" max="10751" width="4.28515625" style="579" customWidth="1"/>
    <col min="10752" max="10752" width="10.42578125" style="579" customWidth="1"/>
    <col min="10753" max="10753" width="21.7109375" style="579" customWidth="1"/>
    <col min="10754" max="10754" width="11.7109375" style="579" bestFit="1" customWidth="1"/>
    <col min="10755" max="10755" width="8.28515625" style="579" customWidth="1"/>
    <col min="10756" max="10757" width="0" style="579" hidden="1" customWidth="1"/>
    <col min="10758" max="10758" width="21.7109375" style="579" customWidth="1"/>
    <col min="10759" max="10759" width="0" style="579" hidden="1" customWidth="1"/>
    <col min="10760" max="10760" width="22.85546875" style="579" customWidth="1"/>
    <col min="10761" max="10761" width="0" style="579" hidden="1" customWidth="1"/>
    <col min="10762" max="10762" width="15.28515625" style="579" customWidth="1"/>
    <col min="10763" max="10763" width="9.140625" style="579"/>
    <col min="10764" max="10769" width="0" style="579" hidden="1" customWidth="1"/>
    <col min="10770" max="11005" width="9.140625" style="579"/>
    <col min="11006" max="11006" width="1.85546875" style="579" customWidth="1"/>
    <col min="11007" max="11007" width="4.28515625" style="579" customWidth="1"/>
    <col min="11008" max="11008" width="10.42578125" style="579" customWidth="1"/>
    <col min="11009" max="11009" width="21.7109375" style="579" customWidth="1"/>
    <col min="11010" max="11010" width="11.7109375" style="579" bestFit="1" customWidth="1"/>
    <col min="11011" max="11011" width="8.28515625" style="579" customWidth="1"/>
    <col min="11012" max="11013" width="0" style="579" hidden="1" customWidth="1"/>
    <col min="11014" max="11014" width="21.7109375" style="579" customWidth="1"/>
    <col min="11015" max="11015" width="0" style="579" hidden="1" customWidth="1"/>
    <col min="11016" max="11016" width="22.85546875" style="579" customWidth="1"/>
    <col min="11017" max="11017" width="0" style="579" hidden="1" customWidth="1"/>
    <col min="11018" max="11018" width="15.28515625" style="579" customWidth="1"/>
    <col min="11019" max="11019" width="9.140625" style="579"/>
    <col min="11020" max="11025" width="0" style="579" hidden="1" customWidth="1"/>
    <col min="11026" max="11261" width="9.140625" style="579"/>
    <col min="11262" max="11262" width="1.85546875" style="579" customWidth="1"/>
    <col min="11263" max="11263" width="4.28515625" style="579" customWidth="1"/>
    <col min="11264" max="11264" width="10.42578125" style="579" customWidth="1"/>
    <col min="11265" max="11265" width="21.7109375" style="579" customWidth="1"/>
    <col min="11266" max="11266" width="11.7109375" style="579" bestFit="1" customWidth="1"/>
    <col min="11267" max="11267" width="8.28515625" style="579" customWidth="1"/>
    <col min="11268" max="11269" width="0" style="579" hidden="1" customWidth="1"/>
    <col min="11270" max="11270" width="21.7109375" style="579" customWidth="1"/>
    <col min="11271" max="11271" width="0" style="579" hidden="1" customWidth="1"/>
    <col min="11272" max="11272" width="22.85546875" style="579" customWidth="1"/>
    <col min="11273" max="11273" width="0" style="579" hidden="1" customWidth="1"/>
    <col min="11274" max="11274" width="15.28515625" style="579" customWidth="1"/>
    <col min="11275" max="11275" width="9.140625" style="579"/>
    <col min="11276" max="11281" width="0" style="579" hidden="1" customWidth="1"/>
    <col min="11282" max="11517" width="9.140625" style="579"/>
    <col min="11518" max="11518" width="1.85546875" style="579" customWidth="1"/>
    <col min="11519" max="11519" width="4.28515625" style="579" customWidth="1"/>
    <col min="11520" max="11520" width="10.42578125" style="579" customWidth="1"/>
    <col min="11521" max="11521" width="21.7109375" style="579" customWidth="1"/>
    <col min="11522" max="11522" width="11.7109375" style="579" bestFit="1" customWidth="1"/>
    <col min="11523" max="11523" width="8.28515625" style="579" customWidth="1"/>
    <col min="11524" max="11525" width="0" style="579" hidden="1" customWidth="1"/>
    <col min="11526" max="11526" width="21.7109375" style="579" customWidth="1"/>
    <col min="11527" max="11527" width="0" style="579" hidden="1" customWidth="1"/>
    <col min="11528" max="11528" width="22.85546875" style="579" customWidth="1"/>
    <col min="11529" max="11529" width="0" style="579" hidden="1" customWidth="1"/>
    <col min="11530" max="11530" width="15.28515625" style="579" customWidth="1"/>
    <col min="11531" max="11531" width="9.140625" style="579"/>
    <col min="11532" max="11537" width="0" style="579" hidden="1" customWidth="1"/>
    <col min="11538" max="11773" width="9.140625" style="579"/>
    <col min="11774" max="11774" width="1.85546875" style="579" customWidth="1"/>
    <col min="11775" max="11775" width="4.28515625" style="579" customWidth="1"/>
    <col min="11776" max="11776" width="10.42578125" style="579" customWidth="1"/>
    <col min="11777" max="11777" width="21.7109375" style="579" customWidth="1"/>
    <col min="11778" max="11778" width="11.7109375" style="579" bestFit="1" customWidth="1"/>
    <col min="11779" max="11779" width="8.28515625" style="579" customWidth="1"/>
    <col min="11780" max="11781" width="0" style="579" hidden="1" customWidth="1"/>
    <col min="11782" max="11782" width="21.7109375" style="579" customWidth="1"/>
    <col min="11783" max="11783" width="0" style="579" hidden="1" customWidth="1"/>
    <col min="11784" max="11784" width="22.85546875" style="579" customWidth="1"/>
    <col min="11785" max="11785" width="0" style="579" hidden="1" customWidth="1"/>
    <col min="11786" max="11786" width="15.28515625" style="579" customWidth="1"/>
    <col min="11787" max="11787" width="9.140625" style="579"/>
    <col min="11788" max="11793" width="0" style="579" hidden="1" customWidth="1"/>
    <col min="11794" max="12029" width="9.140625" style="579"/>
    <col min="12030" max="12030" width="1.85546875" style="579" customWidth="1"/>
    <col min="12031" max="12031" width="4.28515625" style="579" customWidth="1"/>
    <col min="12032" max="12032" width="10.42578125" style="579" customWidth="1"/>
    <col min="12033" max="12033" width="21.7109375" style="579" customWidth="1"/>
    <col min="12034" max="12034" width="11.7109375" style="579" bestFit="1" customWidth="1"/>
    <col min="12035" max="12035" width="8.28515625" style="579" customWidth="1"/>
    <col min="12036" max="12037" width="0" style="579" hidden="1" customWidth="1"/>
    <col min="12038" max="12038" width="21.7109375" style="579" customWidth="1"/>
    <col min="12039" max="12039" width="0" style="579" hidden="1" customWidth="1"/>
    <col min="12040" max="12040" width="22.85546875" style="579" customWidth="1"/>
    <col min="12041" max="12041" width="0" style="579" hidden="1" customWidth="1"/>
    <col min="12042" max="12042" width="15.28515625" style="579" customWidth="1"/>
    <col min="12043" max="12043" width="9.140625" style="579"/>
    <col min="12044" max="12049" width="0" style="579" hidden="1" customWidth="1"/>
    <col min="12050" max="12285" width="9.140625" style="579"/>
    <col min="12286" max="12286" width="1.85546875" style="579" customWidth="1"/>
    <col min="12287" max="12287" width="4.28515625" style="579" customWidth="1"/>
    <col min="12288" max="12288" width="10.42578125" style="579" customWidth="1"/>
    <col min="12289" max="12289" width="21.7109375" style="579" customWidth="1"/>
    <col min="12290" max="12290" width="11.7109375" style="579" bestFit="1" customWidth="1"/>
    <col min="12291" max="12291" width="8.28515625" style="579" customWidth="1"/>
    <col min="12292" max="12293" width="0" style="579" hidden="1" customWidth="1"/>
    <col min="12294" max="12294" width="21.7109375" style="579" customWidth="1"/>
    <col min="12295" max="12295" width="0" style="579" hidden="1" customWidth="1"/>
    <col min="12296" max="12296" width="22.85546875" style="579" customWidth="1"/>
    <col min="12297" max="12297" width="0" style="579" hidden="1" customWidth="1"/>
    <col min="12298" max="12298" width="15.28515625" style="579" customWidth="1"/>
    <col min="12299" max="12299" width="9.140625" style="579"/>
    <col min="12300" max="12305" width="0" style="579" hidden="1" customWidth="1"/>
    <col min="12306" max="12541" width="9.140625" style="579"/>
    <col min="12542" max="12542" width="1.85546875" style="579" customWidth="1"/>
    <col min="12543" max="12543" width="4.28515625" style="579" customWidth="1"/>
    <col min="12544" max="12544" width="10.42578125" style="579" customWidth="1"/>
    <col min="12545" max="12545" width="21.7109375" style="579" customWidth="1"/>
    <col min="12546" max="12546" width="11.7109375" style="579" bestFit="1" customWidth="1"/>
    <col min="12547" max="12547" width="8.28515625" style="579" customWidth="1"/>
    <col min="12548" max="12549" width="0" style="579" hidden="1" customWidth="1"/>
    <col min="12550" max="12550" width="21.7109375" style="579" customWidth="1"/>
    <col min="12551" max="12551" width="0" style="579" hidden="1" customWidth="1"/>
    <col min="12552" max="12552" width="22.85546875" style="579" customWidth="1"/>
    <col min="12553" max="12553" width="0" style="579" hidden="1" customWidth="1"/>
    <col min="12554" max="12554" width="15.28515625" style="579" customWidth="1"/>
    <col min="12555" max="12555" width="9.140625" style="579"/>
    <col min="12556" max="12561" width="0" style="579" hidden="1" customWidth="1"/>
    <col min="12562" max="12797" width="9.140625" style="579"/>
    <col min="12798" max="12798" width="1.85546875" style="579" customWidth="1"/>
    <col min="12799" max="12799" width="4.28515625" style="579" customWidth="1"/>
    <col min="12800" max="12800" width="10.42578125" style="579" customWidth="1"/>
    <col min="12801" max="12801" width="21.7109375" style="579" customWidth="1"/>
    <col min="12802" max="12802" width="11.7109375" style="579" bestFit="1" customWidth="1"/>
    <col min="12803" max="12803" width="8.28515625" style="579" customWidth="1"/>
    <col min="12804" max="12805" width="0" style="579" hidden="1" customWidth="1"/>
    <col min="12806" max="12806" width="21.7109375" style="579" customWidth="1"/>
    <col min="12807" max="12807" width="0" style="579" hidden="1" customWidth="1"/>
    <col min="12808" max="12808" width="22.85546875" style="579" customWidth="1"/>
    <col min="12809" max="12809" width="0" style="579" hidden="1" customWidth="1"/>
    <col min="12810" max="12810" width="15.28515625" style="579" customWidth="1"/>
    <col min="12811" max="12811" width="9.140625" style="579"/>
    <col min="12812" max="12817" width="0" style="579" hidden="1" customWidth="1"/>
    <col min="12818" max="13053" width="9.140625" style="579"/>
    <col min="13054" max="13054" width="1.85546875" style="579" customWidth="1"/>
    <col min="13055" max="13055" width="4.28515625" style="579" customWidth="1"/>
    <col min="13056" max="13056" width="10.42578125" style="579" customWidth="1"/>
    <col min="13057" max="13057" width="21.7109375" style="579" customWidth="1"/>
    <col min="13058" max="13058" width="11.7109375" style="579" bestFit="1" customWidth="1"/>
    <col min="13059" max="13059" width="8.28515625" style="579" customWidth="1"/>
    <col min="13060" max="13061" width="0" style="579" hidden="1" customWidth="1"/>
    <col min="13062" max="13062" width="21.7109375" style="579" customWidth="1"/>
    <col min="13063" max="13063" width="0" style="579" hidden="1" customWidth="1"/>
    <col min="13064" max="13064" width="22.85546875" style="579" customWidth="1"/>
    <col min="13065" max="13065" width="0" style="579" hidden="1" customWidth="1"/>
    <col min="13066" max="13066" width="15.28515625" style="579" customWidth="1"/>
    <col min="13067" max="13067" width="9.140625" style="579"/>
    <col min="13068" max="13073" width="0" style="579" hidden="1" customWidth="1"/>
    <col min="13074" max="13309" width="9.140625" style="579"/>
    <col min="13310" max="13310" width="1.85546875" style="579" customWidth="1"/>
    <col min="13311" max="13311" width="4.28515625" style="579" customWidth="1"/>
    <col min="13312" max="13312" width="10.42578125" style="579" customWidth="1"/>
    <col min="13313" max="13313" width="21.7109375" style="579" customWidth="1"/>
    <col min="13314" max="13314" width="11.7109375" style="579" bestFit="1" customWidth="1"/>
    <col min="13315" max="13315" width="8.28515625" style="579" customWidth="1"/>
    <col min="13316" max="13317" width="0" style="579" hidden="1" customWidth="1"/>
    <col min="13318" max="13318" width="21.7109375" style="579" customWidth="1"/>
    <col min="13319" max="13319" width="0" style="579" hidden="1" customWidth="1"/>
    <col min="13320" max="13320" width="22.85546875" style="579" customWidth="1"/>
    <col min="13321" max="13321" width="0" style="579" hidden="1" customWidth="1"/>
    <col min="13322" max="13322" width="15.28515625" style="579" customWidth="1"/>
    <col min="13323" max="13323" width="9.140625" style="579"/>
    <col min="13324" max="13329" width="0" style="579" hidden="1" customWidth="1"/>
    <col min="13330" max="13565" width="9.140625" style="579"/>
    <col min="13566" max="13566" width="1.85546875" style="579" customWidth="1"/>
    <col min="13567" max="13567" width="4.28515625" style="579" customWidth="1"/>
    <col min="13568" max="13568" width="10.42578125" style="579" customWidth="1"/>
    <col min="13569" max="13569" width="21.7109375" style="579" customWidth="1"/>
    <col min="13570" max="13570" width="11.7109375" style="579" bestFit="1" customWidth="1"/>
    <col min="13571" max="13571" width="8.28515625" style="579" customWidth="1"/>
    <col min="13572" max="13573" width="0" style="579" hidden="1" customWidth="1"/>
    <col min="13574" max="13574" width="21.7109375" style="579" customWidth="1"/>
    <col min="13575" max="13575" width="0" style="579" hidden="1" customWidth="1"/>
    <col min="13576" max="13576" width="22.85546875" style="579" customWidth="1"/>
    <col min="13577" max="13577" width="0" style="579" hidden="1" customWidth="1"/>
    <col min="13578" max="13578" width="15.28515625" style="579" customWidth="1"/>
    <col min="13579" max="13579" width="9.140625" style="579"/>
    <col min="13580" max="13585" width="0" style="579" hidden="1" customWidth="1"/>
    <col min="13586" max="13821" width="9.140625" style="579"/>
    <col min="13822" max="13822" width="1.85546875" style="579" customWidth="1"/>
    <col min="13823" max="13823" width="4.28515625" style="579" customWidth="1"/>
    <col min="13824" max="13824" width="10.42578125" style="579" customWidth="1"/>
    <col min="13825" max="13825" width="21.7109375" style="579" customWidth="1"/>
    <col min="13826" max="13826" width="11.7109375" style="579" bestFit="1" customWidth="1"/>
    <col min="13827" max="13827" width="8.28515625" style="579" customWidth="1"/>
    <col min="13828" max="13829" width="0" style="579" hidden="1" customWidth="1"/>
    <col min="13830" max="13830" width="21.7109375" style="579" customWidth="1"/>
    <col min="13831" max="13831" width="0" style="579" hidden="1" customWidth="1"/>
    <col min="13832" max="13832" width="22.85546875" style="579" customWidth="1"/>
    <col min="13833" max="13833" width="0" style="579" hidden="1" customWidth="1"/>
    <col min="13834" max="13834" width="15.28515625" style="579" customWidth="1"/>
    <col min="13835" max="13835" width="9.140625" style="579"/>
    <col min="13836" max="13841" width="0" style="579" hidden="1" customWidth="1"/>
    <col min="13842" max="14077" width="9.140625" style="579"/>
    <col min="14078" max="14078" width="1.85546875" style="579" customWidth="1"/>
    <col min="14079" max="14079" width="4.28515625" style="579" customWidth="1"/>
    <col min="14080" max="14080" width="10.42578125" style="579" customWidth="1"/>
    <col min="14081" max="14081" width="21.7109375" style="579" customWidth="1"/>
    <col min="14082" max="14082" width="11.7109375" style="579" bestFit="1" customWidth="1"/>
    <col min="14083" max="14083" width="8.28515625" style="579" customWidth="1"/>
    <col min="14084" max="14085" width="0" style="579" hidden="1" customWidth="1"/>
    <col min="14086" max="14086" width="21.7109375" style="579" customWidth="1"/>
    <col min="14087" max="14087" width="0" style="579" hidden="1" customWidth="1"/>
    <col min="14088" max="14088" width="22.85546875" style="579" customWidth="1"/>
    <col min="14089" max="14089" width="0" style="579" hidden="1" customWidth="1"/>
    <col min="14090" max="14090" width="15.28515625" style="579" customWidth="1"/>
    <col min="14091" max="14091" width="9.140625" style="579"/>
    <col min="14092" max="14097" width="0" style="579" hidden="1" customWidth="1"/>
    <col min="14098" max="14333" width="9.140625" style="579"/>
    <col min="14334" max="14334" width="1.85546875" style="579" customWidth="1"/>
    <col min="14335" max="14335" width="4.28515625" style="579" customWidth="1"/>
    <col min="14336" max="14336" width="10.42578125" style="579" customWidth="1"/>
    <col min="14337" max="14337" width="21.7109375" style="579" customWidth="1"/>
    <col min="14338" max="14338" width="11.7109375" style="579" bestFit="1" customWidth="1"/>
    <col min="14339" max="14339" width="8.28515625" style="579" customWidth="1"/>
    <col min="14340" max="14341" width="0" style="579" hidden="1" customWidth="1"/>
    <col min="14342" max="14342" width="21.7109375" style="579" customWidth="1"/>
    <col min="14343" max="14343" width="0" style="579" hidden="1" customWidth="1"/>
    <col min="14344" max="14344" width="22.85546875" style="579" customWidth="1"/>
    <col min="14345" max="14345" width="0" style="579" hidden="1" customWidth="1"/>
    <col min="14346" max="14346" width="15.28515625" style="579" customWidth="1"/>
    <col min="14347" max="14347" width="9.140625" style="579"/>
    <col min="14348" max="14353" width="0" style="579" hidden="1" customWidth="1"/>
    <col min="14354" max="14589" width="9.140625" style="579"/>
    <col min="14590" max="14590" width="1.85546875" style="579" customWidth="1"/>
    <col min="14591" max="14591" width="4.28515625" style="579" customWidth="1"/>
    <col min="14592" max="14592" width="10.42578125" style="579" customWidth="1"/>
    <col min="14593" max="14593" width="21.7109375" style="579" customWidth="1"/>
    <col min="14594" max="14594" width="11.7109375" style="579" bestFit="1" customWidth="1"/>
    <col min="14595" max="14595" width="8.28515625" style="579" customWidth="1"/>
    <col min="14596" max="14597" width="0" style="579" hidden="1" customWidth="1"/>
    <col min="14598" max="14598" width="21.7109375" style="579" customWidth="1"/>
    <col min="14599" max="14599" width="0" style="579" hidden="1" customWidth="1"/>
    <col min="14600" max="14600" width="22.85546875" style="579" customWidth="1"/>
    <col min="14601" max="14601" width="0" style="579" hidden="1" customWidth="1"/>
    <col min="14602" max="14602" width="15.28515625" style="579" customWidth="1"/>
    <col min="14603" max="14603" width="9.140625" style="579"/>
    <col min="14604" max="14609" width="0" style="579" hidden="1" customWidth="1"/>
    <col min="14610" max="14845" width="9.140625" style="579"/>
    <col min="14846" max="14846" width="1.85546875" style="579" customWidth="1"/>
    <col min="14847" max="14847" width="4.28515625" style="579" customWidth="1"/>
    <col min="14848" max="14848" width="10.42578125" style="579" customWidth="1"/>
    <col min="14849" max="14849" width="21.7109375" style="579" customWidth="1"/>
    <col min="14850" max="14850" width="11.7109375" style="579" bestFit="1" customWidth="1"/>
    <col min="14851" max="14851" width="8.28515625" style="579" customWidth="1"/>
    <col min="14852" max="14853" width="0" style="579" hidden="1" customWidth="1"/>
    <col min="14854" max="14854" width="21.7109375" style="579" customWidth="1"/>
    <col min="14855" max="14855" width="0" style="579" hidden="1" customWidth="1"/>
    <col min="14856" max="14856" width="22.85546875" style="579" customWidth="1"/>
    <col min="14857" max="14857" width="0" style="579" hidden="1" customWidth="1"/>
    <col min="14858" max="14858" width="15.28515625" style="579" customWidth="1"/>
    <col min="14859" max="14859" width="9.140625" style="579"/>
    <col min="14860" max="14865" width="0" style="579" hidden="1" customWidth="1"/>
    <col min="14866" max="15101" width="9.140625" style="579"/>
    <col min="15102" max="15102" width="1.85546875" style="579" customWidth="1"/>
    <col min="15103" max="15103" width="4.28515625" style="579" customWidth="1"/>
    <col min="15104" max="15104" width="10.42578125" style="579" customWidth="1"/>
    <col min="15105" max="15105" width="21.7109375" style="579" customWidth="1"/>
    <col min="15106" max="15106" width="11.7109375" style="579" bestFit="1" customWidth="1"/>
    <col min="15107" max="15107" width="8.28515625" style="579" customWidth="1"/>
    <col min="15108" max="15109" width="0" style="579" hidden="1" customWidth="1"/>
    <col min="15110" max="15110" width="21.7109375" style="579" customWidth="1"/>
    <col min="15111" max="15111" width="0" style="579" hidden="1" customWidth="1"/>
    <col min="15112" max="15112" width="22.85546875" style="579" customWidth="1"/>
    <col min="15113" max="15113" width="0" style="579" hidden="1" customWidth="1"/>
    <col min="15114" max="15114" width="15.28515625" style="579" customWidth="1"/>
    <col min="15115" max="15115" width="9.140625" style="579"/>
    <col min="15116" max="15121" width="0" style="579" hidden="1" customWidth="1"/>
    <col min="15122" max="15357" width="9.140625" style="579"/>
    <col min="15358" max="15358" width="1.85546875" style="579" customWidth="1"/>
    <col min="15359" max="15359" width="4.28515625" style="579" customWidth="1"/>
    <col min="15360" max="15360" width="10.42578125" style="579" customWidth="1"/>
    <col min="15361" max="15361" width="21.7109375" style="579" customWidth="1"/>
    <col min="15362" max="15362" width="11.7109375" style="579" bestFit="1" customWidth="1"/>
    <col min="15363" max="15363" width="8.28515625" style="579" customWidth="1"/>
    <col min="15364" max="15365" width="0" style="579" hidden="1" customWidth="1"/>
    <col min="15366" max="15366" width="21.7109375" style="579" customWidth="1"/>
    <col min="15367" max="15367" width="0" style="579" hidden="1" customWidth="1"/>
    <col min="15368" max="15368" width="22.85546875" style="579" customWidth="1"/>
    <col min="15369" max="15369" width="0" style="579" hidden="1" customWidth="1"/>
    <col min="15370" max="15370" width="15.28515625" style="579" customWidth="1"/>
    <col min="15371" max="15371" width="9.140625" style="579"/>
    <col min="15372" max="15377" width="0" style="579" hidden="1" customWidth="1"/>
    <col min="15378" max="15613" width="9.140625" style="579"/>
    <col min="15614" max="15614" width="1.85546875" style="579" customWidth="1"/>
    <col min="15615" max="15615" width="4.28515625" style="579" customWidth="1"/>
    <col min="15616" max="15616" width="10.42578125" style="579" customWidth="1"/>
    <col min="15617" max="15617" width="21.7109375" style="579" customWidth="1"/>
    <col min="15618" max="15618" width="11.7109375" style="579" bestFit="1" customWidth="1"/>
    <col min="15619" max="15619" width="8.28515625" style="579" customWidth="1"/>
    <col min="15620" max="15621" width="0" style="579" hidden="1" customWidth="1"/>
    <col min="15622" max="15622" width="21.7109375" style="579" customWidth="1"/>
    <col min="15623" max="15623" width="0" style="579" hidden="1" customWidth="1"/>
    <col min="15624" max="15624" width="22.85546875" style="579" customWidth="1"/>
    <col min="15625" max="15625" width="0" style="579" hidden="1" customWidth="1"/>
    <col min="15626" max="15626" width="15.28515625" style="579" customWidth="1"/>
    <col min="15627" max="15627" width="9.140625" style="579"/>
    <col min="15628" max="15633" width="0" style="579" hidden="1" customWidth="1"/>
    <col min="15634" max="15869" width="9.140625" style="579"/>
    <col min="15870" max="15870" width="1.85546875" style="579" customWidth="1"/>
    <col min="15871" max="15871" width="4.28515625" style="579" customWidth="1"/>
    <col min="15872" max="15872" width="10.42578125" style="579" customWidth="1"/>
    <col min="15873" max="15873" width="21.7109375" style="579" customWidth="1"/>
    <col min="15874" max="15874" width="11.7109375" style="579" bestFit="1" customWidth="1"/>
    <col min="15875" max="15875" width="8.28515625" style="579" customWidth="1"/>
    <col min="15876" max="15877" width="0" style="579" hidden="1" customWidth="1"/>
    <col min="15878" max="15878" width="21.7109375" style="579" customWidth="1"/>
    <col min="15879" max="15879" width="0" style="579" hidden="1" customWidth="1"/>
    <col min="15880" max="15880" width="22.85546875" style="579" customWidth="1"/>
    <col min="15881" max="15881" width="0" style="579" hidden="1" customWidth="1"/>
    <col min="15882" max="15882" width="15.28515625" style="579" customWidth="1"/>
    <col min="15883" max="15883" width="9.140625" style="579"/>
    <col min="15884" max="15889" width="0" style="579" hidden="1" customWidth="1"/>
    <col min="15890" max="16125" width="9.140625" style="579"/>
    <col min="16126" max="16126" width="1.85546875" style="579" customWidth="1"/>
    <col min="16127" max="16127" width="4.28515625" style="579" customWidth="1"/>
    <col min="16128" max="16128" width="10.42578125" style="579" customWidth="1"/>
    <col min="16129" max="16129" width="21.7109375" style="579" customWidth="1"/>
    <col min="16130" max="16130" width="11.7109375" style="579" bestFit="1" customWidth="1"/>
    <col min="16131" max="16131" width="8.28515625" style="579" customWidth="1"/>
    <col min="16132" max="16133" width="0" style="579" hidden="1" customWidth="1"/>
    <col min="16134" max="16134" width="21.7109375" style="579" customWidth="1"/>
    <col min="16135" max="16135" width="0" style="579" hidden="1" customWidth="1"/>
    <col min="16136" max="16136" width="22.85546875" style="579" customWidth="1"/>
    <col min="16137" max="16137" width="0" style="579" hidden="1" customWidth="1"/>
    <col min="16138" max="16138" width="15.28515625" style="579" customWidth="1"/>
    <col min="16139" max="16139" width="9.140625" style="579"/>
    <col min="16140" max="16145" width="0" style="579" hidden="1" customWidth="1"/>
    <col min="16146" max="16384" width="9.140625" style="579"/>
  </cols>
  <sheetData>
    <row r="1" spans="2:14" ht="13.5" thickBot="1" x14ac:dyDescent="0.25"/>
    <row r="2" spans="2:14" x14ac:dyDescent="0.2">
      <c r="B2" s="1319" t="s">
        <v>829</v>
      </c>
      <c r="C2" s="1320"/>
      <c r="D2" s="1321"/>
      <c r="E2" s="580"/>
      <c r="F2" s="580"/>
      <c r="G2" s="580"/>
      <c r="H2" s="580"/>
      <c r="I2" s="581"/>
      <c r="J2" s="580"/>
      <c r="K2" s="582" t="s">
        <v>741</v>
      </c>
    </row>
    <row r="3" spans="2:14" x14ac:dyDescent="0.2">
      <c r="B3" s="583" t="s">
        <v>830</v>
      </c>
      <c r="D3" s="584"/>
      <c r="E3" s="1322" t="s">
        <v>831</v>
      </c>
      <c r="F3" s="1317"/>
      <c r="G3" s="1317"/>
      <c r="H3" s="1317"/>
      <c r="I3" s="1318"/>
      <c r="K3" s="585"/>
    </row>
    <row r="4" spans="2:14" x14ac:dyDescent="0.2">
      <c r="B4" s="586" t="s">
        <v>832</v>
      </c>
      <c r="D4" s="584"/>
      <c r="E4" s="1322" t="s">
        <v>833</v>
      </c>
      <c r="F4" s="1317"/>
      <c r="G4" s="1317"/>
      <c r="H4" s="1317"/>
      <c r="I4" s="1318"/>
      <c r="K4" s="661" t="s">
        <v>744</v>
      </c>
    </row>
    <row r="5" spans="2:14" x14ac:dyDescent="0.2">
      <c r="B5" s="586" t="s">
        <v>751</v>
      </c>
      <c r="D5" s="584"/>
      <c r="E5" s="1317" t="s">
        <v>834</v>
      </c>
      <c r="F5" s="1317"/>
      <c r="G5" s="1317"/>
      <c r="H5" s="1317"/>
      <c r="I5" s="1318"/>
      <c r="K5" s="661" t="s">
        <v>747</v>
      </c>
    </row>
    <row r="6" spans="2:14" x14ac:dyDescent="0.2">
      <c r="B6" s="586"/>
      <c r="D6" s="584"/>
      <c r="E6" s="1322" t="s">
        <v>752</v>
      </c>
      <c r="F6" s="1317"/>
      <c r="G6" s="1317"/>
      <c r="H6" s="1317"/>
      <c r="I6" s="1318"/>
      <c r="K6" s="661" t="s">
        <v>750</v>
      </c>
    </row>
    <row r="7" spans="2:14" x14ac:dyDescent="0.2">
      <c r="B7" s="587"/>
      <c r="C7" s="588"/>
      <c r="D7" s="589"/>
      <c r="E7" s="1317" t="s">
        <v>834</v>
      </c>
      <c r="F7" s="1317"/>
      <c r="G7" s="1317"/>
      <c r="H7" s="1317"/>
      <c r="I7" s="1318"/>
      <c r="K7" s="590" t="s">
        <v>61</v>
      </c>
    </row>
    <row r="8" spans="2:14" x14ac:dyDescent="0.2">
      <c r="B8" s="591" t="s">
        <v>756</v>
      </c>
      <c r="C8" s="592"/>
      <c r="D8" s="593"/>
      <c r="I8" s="594"/>
      <c r="K8" s="585"/>
    </row>
    <row r="9" spans="2:14" x14ac:dyDescent="0.2">
      <c r="B9" s="586"/>
      <c r="D9" s="584"/>
      <c r="E9" s="1317" t="s">
        <v>1048</v>
      </c>
      <c r="F9" s="1317"/>
      <c r="G9" s="1317"/>
      <c r="H9" s="1317"/>
      <c r="I9" s="1318"/>
      <c r="K9" s="585"/>
    </row>
    <row r="10" spans="2:14" x14ac:dyDescent="0.2">
      <c r="B10" s="595" t="s">
        <v>61</v>
      </c>
      <c r="C10" s="579" t="s">
        <v>61</v>
      </c>
      <c r="D10" s="584"/>
      <c r="I10" s="594"/>
      <c r="K10" s="585"/>
    </row>
    <row r="11" spans="2:14" ht="24.6" customHeight="1" thickBot="1" x14ac:dyDescent="0.25">
      <c r="B11" s="596"/>
      <c r="C11" s="597"/>
      <c r="D11" s="598"/>
      <c r="E11" s="597"/>
      <c r="F11" s="597"/>
      <c r="G11" s="597"/>
      <c r="H11" s="597"/>
      <c r="I11" s="599"/>
      <c r="J11" s="597"/>
      <c r="K11" s="600" t="s">
        <v>835</v>
      </c>
    </row>
    <row r="12" spans="2:14" ht="13.5" hidden="1" thickBot="1" x14ac:dyDescent="0.25">
      <c r="B12" s="596"/>
      <c r="C12" s="597"/>
      <c r="D12" s="599"/>
      <c r="E12" s="601"/>
      <c r="F12" s="597"/>
      <c r="G12" s="597"/>
      <c r="H12" s="597"/>
      <c r="I12" s="599"/>
      <c r="J12" s="597"/>
      <c r="K12" s="602"/>
    </row>
    <row r="13" spans="2:14" s="606" customFormat="1" ht="34.5" customHeight="1" thickBot="1" x14ac:dyDescent="0.25">
      <c r="B13" s="603"/>
      <c r="C13" s="604"/>
      <c r="D13" s="604"/>
      <c r="E13" s="604"/>
      <c r="F13" s="604"/>
      <c r="G13" s="605"/>
      <c r="I13" s="607" t="s">
        <v>836</v>
      </c>
      <c r="J13" s="608"/>
      <c r="K13" s="607" t="s">
        <v>837</v>
      </c>
      <c r="N13" s="740"/>
    </row>
    <row r="14" spans="2:14" ht="13.5" hidden="1" thickBot="1" x14ac:dyDescent="0.25">
      <c r="I14" s="609"/>
      <c r="J14" s="610"/>
      <c r="K14" s="609"/>
    </row>
    <row r="15" spans="2:14" ht="13.5" hidden="1" thickBot="1" x14ac:dyDescent="0.25">
      <c r="I15" s="611"/>
      <c r="J15" s="612"/>
      <c r="K15" s="611"/>
    </row>
    <row r="16" spans="2:14" s="619" customFormat="1" ht="20.25" customHeight="1" x14ac:dyDescent="0.2">
      <c r="B16" s="613" t="s">
        <v>357</v>
      </c>
      <c r="C16" s="614" t="s">
        <v>358</v>
      </c>
      <c r="D16" s="615"/>
      <c r="E16" s="615"/>
      <c r="F16" s="615"/>
      <c r="G16" s="615"/>
      <c r="H16" s="616"/>
      <c r="I16" s="617">
        <f>I17+I19+I23</f>
        <v>18490656.010000002</v>
      </c>
      <c r="J16" s="618">
        <f>J17+J19+J23</f>
        <v>0</v>
      </c>
      <c r="K16" s="1132">
        <f>K17+K19+K23</f>
        <v>18191562.93</v>
      </c>
      <c r="M16" s="620"/>
      <c r="N16" s="741"/>
    </row>
    <row r="17" spans="2:15" ht="20.100000000000001" customHeight="1" x14ac:dyDescent="0.2">
      <c r="B17" s="587" t="s">
        <v>221</v>
      </c>
      <c r="C17" s="621" t="s">
        <v>359</v>
      </c>
      <c r="D17" s="610"/>
      <c r="E17" s="610"/>
      <c r="F17" s="610"/>
      <c r="G17" s="610"/>
      <c r="H17" s="622"/>
      <c r="I17" s="1133">
        <v>8458758.1600000001</v>
      </c>
      <c r="J17" s="624"/>
      <c r="K17" s="1274">
        <v>10165098.59</v>
      </c>
      <c r="M17" s="620"/>
    </row>
    <row r="18" spans="2:15" ht="26.25" hidden="1" customHeight="1" x14ac:dyDescent="0.2">
      <c r="B18" s="626" t="s">
        <v>200</v>
      </c>
      <c r="C18" s="1325" t="s">
        <v>838</v>
      </c>
      <c r="D18" s="1326"/>
      <c r="E18" s="1326"/>
      <c r="F18" s="1326"/>
      <c r="G18" s="1326"/>
      <c r="H18" s="622"/>
      <c r="I18" s="1133">
        <v>0</v>
      </c>
      <c r="J18" s="624"/>
      <c r="K18" s="1274">
        <v>0</v>
      </c>
      <c r="M18" s="620"/>
    </row>
    <row r="19" spans="2:15" ht="26.25" customHeight="1" x14ac:dyDescent="0.2">
      <c r="B19" s="587" t="s">
        <v>225</v>
      </c>
      <c r="C19" s="1327" t="s">
        <v>839</v>
      </c>
      <c r="D19" s="1328"/>
      <c r="E19" s="1328"/>
      <c r="F19" s="1328"/>
      <c r="G19" s="1328"/>
      <c r="H19" s="622"/>
      <c r="I19" s="1133">
        <v>33390.97</v>
      </c>
      <c r="J19" s="624">
        <v>0</v>
      </c>
      <c r="K19" s="1274">
        <v>4691.03</v>
      </c>
      <c r="L19" s="579">
        <v>0</v>
      </c>
      <c r="M19" s="620"/>
    </row>
    <row r="20" spans="2:15" ht="20.100000000000001" customHeight="1" x14ac:dyDescent="0.2">
      <c r="B20" s="587" t="s">
        <v>366</v>
      </c>
      <c r="C20" s="621" t="s">
        <v>840</v>
      </c>
      <c r="D20" s="610"/>
      <c r="E20" s="610"/>
      <c r="F20" s="610"/>
      <c r="G20" s="610"/>
      <c r="H20" s="622"/>
      <c r="I20" s="1133">
        <v>0</v>
      </c>
      <c r="J20" s="624"/>
      <c r="K20" s="1274">
        <v>0</v>
      </c>
      <c r="M20" s="620"/>
    </row>
    <row r="21" spans="2:15" ht="20.100000000000001" customHeight="1" x14ac:dyDescent="0.2">
      <c r="B21" s="587" t="s">
        <v>360</v>
      </c>
      <c r="C21" s="621" t="s">
        <v>841</v>
      </c>
      <c r="D21" s="610"/>
      <c r="E21" s="610"/>
      <c r="F21" s="610"/>
      <c r="G21" s="610"/>
      <c r="H21" s="622"/>
      <c r="I21" s="1133">
        <v>0</v>
      </c>
      <c r="J21" s="624"/>
      <c r="K21" s="1274">
        <v>0</v>
      </c>
      <c r="M21" s="620"/>
    </row>
    <row r="22" spans="2:15" ht="20.100000000000001" customHeight="1" x14ac:dyDescent="0.2">
      <c r="B22" s="587" t="s">
        <v>373</v>
      </c>
      <c r="C22" s="627" t="s">
        <v>842</v>
      </c>
      <c r="D22" s="628"/>
      <c r="E22" s="628"/>
      <c r="F22" s="628"/>
      <c r="G22" s="628"/>
      <c r="H22" s="629"/>
      <c r="I22" s="1133">
        <v>0</v>
      </c>
      <c r="J22" s="630"/>
      <c r="K22" s="1274">
        <v>0</v>
      </c>
      <c r="M22" s="620"/>
    </row>
    <row r="23" spans="2:15" ht="20.100000000000001" customHeight="1" x14ac:dyDescent="0.2">
      <c r="B23" s="587" t="s">
        <v>108</v>
      </c>
      <c r="C23" s="627" t="s">
        <v>361</v>
      </c>
      <c r="D23" s="628"/>
      <c r="E23" s="628"/>
      <c r="F23" s="628"/>
      <c r="G23" s="628"/>
      <c r="H23" s="629"/>
      <c r="I23" s="1133">
        <v>9998506.8800000008</v>
      </c>
      <c r="J23" s="630">
        <v>0</v>
      </c>
      <c r="K23" s="1274">
        <v>8021773.3099999996</v>
      </c>
      <c r="L23" s="579">
        <v>0</v>
      </c>
      <c r="M23" s="620"/>
    </row>
    <row r="24" spans="2:15" s="619" customFormat="1" ht="21.75" customHeight="1" x14ac:dyDescent="0.2">
      <c r="B24" s="631" t="s">
        <v>362</v>
      </c>
      <c r="C24" s="1329" t="s">
        <v>363</v>
      </c>
      <c r="D24" s="1330"/>
      <c r="E24" s="1330"/>
      <c r="F24" s="1330"/>
      <c r="G24" s="1330"/>
      <c r="H24" s="632"/>
      <c r="I24" s="633">
        <f>SUM(I25:I34)</f>
        <v>108876744.78</v>
      </c>
      <c r="J24" s="634">
        <f>SUM(J25:J33)</f>
        <v>141856403.76999998</v>
      </c>
      <c r="K24" s="1134">
        <f>SUM(K25:K34)</f>
        <v>125667709.97999999</v>
      </c>
      <c r="M24" s="620"/>
      <c r="N24" s="741"/>
    </row>
    <row r="25" spans="2:15" ht="20.100000000000001" customHeight="1" x14ac:dyDescent="0.2">
      <c r="B25" s="587" t="s">
        <v>221</v>
      </c>
      <c r="C25" s="627" t="s">
        <v>364</v>
      </c>
      <c r="D25" s="628"/>
      <c r="E25" s="628"/>
      <c r="F25" s="628"/>
      <c r="G25" s="628"/>
      <c r="H25" s="629"/>
      <c r="I25" s="1133">
        <v>11288999.02</v>
      </c>
      <c r="J25" s="635">
        <v>5099859.4800000004</v>
      </c>
      <c r="K25" s="1274">
        <v>11024493.17</v>
      </c>
      <c r="L25" s="579">
        <v>0</v>
      </c>
      <c r="M25" s="620"/>
      <c r="O25" s="1099"/>
    </row>
    <row r="26" spans="2:15" ht="20.100000000000001" customHeight="1" x14ac:dyDescent="0.2">
      <c r="B26" s="587" t="s">
        <v>225</v>
      </c>
      <c r="C26" s="627" t="s">
        <v>365</v>
      </c>
      <c r="D26" s="628"/>
      <c r="E26" s="628"/>
      <c r="F26" s="628"/>
      <c r="G26" s="628"/>
      <c r="H26" s="629"/>
      <c r="I26" s="1133">
        <v>4651397.67</v>
      </c>
      <c r="J26" s="636">
        <v>1786974.38</v>
      </c>
      <c r="K26" s="1274">
        <v>4818023.54</v>
      </c>
      <c r="L26" s="579">
        <v>0</v>
      </c>
      <c r="M26" s="620"/>
    </row>
    <row r="27" spans="2:15" ht="20.100000000000001" customHeight="1" x14ac:dyDescent="0.2">
      <c r="B27" s="587" t="s">
        <v>366</v>
      </c>
      <c r="C27" s="627" t="s">
        <v>371</v>
      </c>
      <c r="D27" s="628"/>
      <c r="E27" s="628"/>
      <c r="F27" s="628"/>
      <c r="G27" s="628"/>
      <c r="H27" s="629"/>
      <c r="I27" s="1133">
        <v>25244149.77</v>
      </c>
      <c r="J27" s="635">
        <v>16823641.969999999</v>
      </c>
      <c r="K27" s="1274">
        <v>30288784.43</v>
      </c>
      <c r="L27" s="579">
        <v>0</v>
      </c>
      <c r="M27" s="620" t="s">
        <v>61</v>
      </c>
    </row>
    <row r="28" spans="2:15" ht="20.100000000000001" customHeight="1" x14ac:dyDescent="0.2">
      <c r="B28" s="587" t="s">
        <v>360</v>
      </c>
      <c r="C28" s="627" t="s">
        <v>372</v>
      </c>
      <c r="D28" s="628"/>
      <c r="E28" s="628"/>
      <c r="F28" s="628"/>
      <c r="G28" s="628"/>
      <c r="H28" s="629"/>
      <c r="I28" s="1133">
        <v>1193157.2</v>
      </c>
      <c r="J28" s="635">
        <v>1157323.69</v>
      </c>
      <c r="K28" s="1274">
        <v>1263689.48</v>
      </c>
      <c r="M28" s="620"/>
    </row>
    <row r="29" spans="2:15" ht="20.100000000000001" customHeight="1" x14ac:dyDescent="0.2">
      <c r="B29" s="587" t="s">
        <v>373</v>
      </c>
      <c r="C29" s="627" t="s">
        <v>374</v>
      </c>
      <c r="D29" s="628"/>
      <c r="E29" s="628"/>
      <c r="F29" s="628"/>
      <c r="G29" s="628"/>
      <c r="H29" s="629"/>
      <c r="I29" s="1133">
        <v>37044442.090000004</v>
      </c>
      <c r="J29" s="635">
        <v>29392302.710000001</v>
      </c>
      <c r="K29" s="1274">
        <v>43191538.450000003</v>
      </c>
      <c r="M29" s="620" t="s">
        <v>61</v>
      </c>
    </row>
    <row r="30" spans="2:15" ht="20.100000000000001" customHeight="1" x14ac:dyDescent="0.2">
      <c r="B30" s="587" t="s">
        <v>108</v>
      </c>
      <c r="C30" s="627" t="s">
        <v>375</v>
      </c>
      <c r="D30" s="628"/>
      <c r="E30" s="628"/>
      <c r="F30" s="628"/>
      <c r="G30" s="628"/>
      <c r="H30" s="629"/>
      <c r="I30" s="1133">
        <v>6993925.5199999996</v>
      </c>
      <c r="J30" s="635">
        <v>6383187.4000000004</v>
      </c>
      <c r="K30" s="1274">
        <v>8115118.3799999999</v>
      </c>
      <c r="M30" s="620"/>
    </row>
    <row r="31" spans="2:15" ht="21.6" customHeight="1" x14ac:dyDescent="0.2">
      <c r="B31" s="587" t="s">
        <v>376</v>
      </c>
      <c r="C31" s="627" t="s">
        <v>377</v>
      </c>
      <c r="D31" s="628"/>
      <c r="E31" s="628"/>
      <c r="F31" s="628"/>
      <c r="G31" s="628"/>
      <c r="H31" s="629"/>
      <c r="I31" s="1135">
        <f>22460673.51-I33</f>
        <v>2240344.7900000028</v>
      </c>
      <c r="J31" s="635">
        <v>100340.4</v>
      </c>
      <c r="K31" s="1274">
        <f>26966062.53-K33</f>
        <v>4552560.1300000139</v>
      </c>
      <c r="M31" s="620"/>
    </row>
    <row r="32" spans="2:15" ht="20.100000000000001" customHeight="1" x14ac:dyDescent="0.2">
      <c r="B32" s="637" t="s">
        <v>378</v>
      </c>
      <c r="C32" s="627" t="s">
        <v>379</v>
      </c>
      <c r="D32" s="628"/>
      <c r="E32" s="628"/>
      <c r="F32" s="628"/>
      <c r="G32" s="628"/>
      <c r="H32" s="629"/>
      <c r="I32" s="1133">
        <v>0</v>
      </c>
      <c r="J32" s="635">
        <v>81112773.739999995</v>
      </c>
      <c r="K32" s="1274">
        <v>0</v>
      </c>
      <c r="L32" s="579">
        <v>0</v>
      </c>
      <c r="M32" s="620"/>
    </row>
    <row r="33" spans="2:21" ht="20.100000000000001" customHeight="1" x14ac:dyDescent="0.2">
      <c r="B33" s="587" t="s">
        <v>309</v>
      </c>
      <c r="C33" s="627" t="s">
        <v>310</v>
      </c>
      <c r="D33" s="628"/>
      <c r="E33" s="628"/>
      <c r="F33" s="628"/>
      <c r="G33" s="628"/>
      <c r="H33" s="629"/>
      <c r="I33" s="1135">
        <v>20220328.719999999</v>
      </c>
      <c r="J33" s="638"/>
      <c r="K33" s="1274">
        <v>22413502.399999987</v>
      </c>
      <c r="M33" s="620"/>
    </row>
    <row r="34" spans="2:21" ht="20.100000000000001" customHeight="1" x14ac:dyDescent="0.2">
      <c r="B34" s="587" t="s">
        <v>380</v>
      </c>
      <c r="C34" s="621" t="s">
        <v>381</v>
      </c>
      <c r="D34" s="610"/>
      <c r="E34" s="610"/>
      <c r="F34" s="610"/>
      <c r="G34" s="610"/>
      <c r="H34" s="622"/>
      <c r="I34" s="623">
        <v>0</v>
      </c>
      <c r="J34" s="639">
        <f>J17-J24</f>
        <v>-141856403.76999998</v>
      </c>
      <c r="K34" s="1274">
        <v>0</v>
      </c>
      <c r="M34" s="620"/>
    </row>
    <row r="35" spans="2:21" s="619" customFormat="1" ht="22.5" customHeight="1" x14ac:dyDescent="0.2">
      <c r="B35" s="640" t="s">
        <v>843</v>
      </c>
      <c r="C35" s="641" t="s">
        <v>844</v>
      </c>
      <c r="D35" s="642"/>
      <c r="E35" s="642"/>
      <c r="F35" s="642"/>
      <c r="G35" s="642"/>
      <c r="H35" s="643"/>
      <c r="I35" s="644">
        <f>I16-I24</f>
        <v>-90386088.769999996</v>
      </c>
      <c r="J35" s="639">
        <f>SUM(J36:J38)</f>
        <v>58749674.479999997</v>
      </c>
      <c r="K35" s="1134">
        <f>K16-K24</f>
        <v>-107476147.04999998</v>
      </c>
      <c r="M35" s="620"/>
      <c r="N35" s="741"/>
    </row>
    <row r="36" spans="2:21" s="619" customFormat="1" ht="21.75" customHeight="1" x14ac:dyDescent="0.2">
      <c r="B36" s="640" t="s">
        <v>382</v>
      </c>
      <c r="C36" s="641" t="s">
        <v>383</v>
      </c>
      <c r="D36" s="642"/>
      <c r="E36" s="642"/>
      <c r="F36" s="642"/>
      <c r="G36" s="642"/>
      <c r="H36" s="643"/>
      <c r="I36" s="644">
        <f>SUM(I37:I39)</f>
        <v>5681228.1799999997</v>
      </c>
      <c r="J36" s="645"/>
      <c r="K36" s="1134">
        <f>SUM(K37:K39)</f>
        <v>4573594.4100000942</v>
      </c>
      <c r="M36" s="620"/>
      <c r="N36" s="741"/>
    </row>
    <row r="37" spans="2:21" ht="20.100000000000001" customHeight="1" x14ac:dyDescent="0.2">
      <c r="B37" s="587" t="s">
        <v>221</v>
      </c>
      <c r="C37" s="621" t="s">
        <v>845</v>
      </c>
      <c r="D37" s="610"/>
      <c r="E37" s="610"/>
      <c r="F37" s="610"/>
      <c r="G37" s="610"/>
      <c r="H37" s="622"/>
      <c r="I37" s="1133">
        <v>2668563.9500000002</v>
      </c>
      <c r="J37" s="645"/>
      <c r="K37" s="1133">
        <v>-61011.809999906473</v>
      </c>
      <c r="M37" s="620"/>
    </row>
    <row r="38" spans="2:21" ht="16.5" customHeight="1" x14ac:dyDescent="0.2">
      <c r="B38" s="587" t="s">
        <v>225</v>
      </c>
      <c r="C38" s="621" t="s">
        <v>553</v>
      </c>
      <c r="D38" s="610"/>
      <c r="E38" s="610"/>
      <c r="F38" s="610"/>
      <c r="G38" s="610"/>
      <c r="H38" s="622"/>
      <c r="I38" s="623">
        <v>0</v>
      </c>
      <c r="J38" s="635">
        <v>58749674.479999997</v>
      </c>
      <c r="K38" s="623">
        <v>0</v>
      </c>
      <c r="M38" s="620"/>
    </row>
    <row r="39" spans="2:21" ht="20.100000000000001" customHeight="1" x14ac:dyDescent="0.2">
      <c r="B39" s="587" t="s">
        <v>366</v>
      </c>
      <c r="C39" s="621" t="s">
        <v>384</v>
      </c>
      <c r="D39" s="610"/>
      <c r="E39" s="610"/>
      <c r="F39" s="610"/>
      <c r="G39" s="610"/>
      <c r="H39" s="622"/>
      <c r="I39" s="623">
        <f>88512.75+2924151.48</f>
        <v>3012664.23</v>
      </c>
      <c r="J39" s="639">
        <f>J41+J40</f>
        <v>53128553.509999998</v>
      </c>
      <c r="K39" s="623">
        <v>4634606.2200000007</v>
      </c>
      <c r="M39" s="620"/>
    </row>
    <row r="40" spans="2:21" s="619" customFormat="1" ht="24.75" customHeight="1" x14ac:dyDescent="0.2">
      <c r="B40" s="640" t="s">
        <v>385</v>
      </c>
      <c r="C40" s="641" t="s">
        <v>115</v>
      </c>
      <c r="D40" s="642"/>
      <c r="E40" s="642"/>
      <c r="F40" s="642"/>
      <c r="G40" s="642"/>
      <c r="H40" s="643"/>
      <c r="I40" s="644">
        <f>SUM(I41:I42)</f>
        <v>1331013.3900000001</v>
      </c>
      <c r="J40" s="646"/>
      <c r="K40" s="644">
        <f>SUM(K41:K42)</f>
        <v>47883132.729999997</v>
      </c>
      <c r="M40" s="620"/>
      <c r="N40" s="741"/>
      <c r="U40" s="620"/>
    </row>
    <row r="41" spans="2:21" ht="52.5" customHeight="1" x14ac:dyDescent="0.2">
      <c r="B41" s="587" t="s">
        <v>221</v>
      </c>
      <c r="C41" s="1327" t="s">
        <v>846</v>
      </c>
      <c r="D41" s="1328"/>
      <c r="E41" s="1328"/>
      <c r="F41" s="1328"/>
      <c r="G41" s="1328"/>
      <c r="H41" s="622"/>
      <c r="I41" s="623">
        <v>0</v>
      </c>
      <c r="J41" s="647">
        <v>53128553.509999998</v>
      </c>
      <c r="K41" s="623">
        <v>0</v>
      </c>
      <c r="M41" s="620"/>
    </row>
    <row r="42" spans="2:21" ht="21" customHeight="1" x14ac:dyDescent="0.2">
      <c r="B42" s="587" t="s">
        <v>225</v>
      </c>
      <c r="C42" s="621" t="s">
        <v>115</v>
      </c>
      <c r="D42" s="610"/>
      <c r="E42" s="610"/>
      <c r="F42" s="610"/>
      <c r="G42" s="610"/>
      <c r="H42" s="622"/>
      <c r="I42" s="623">
        <f>424016.02-36890.72+943888.09</f>
        <v>1331013.3900000001</v>
      </c>
      <c r="J42" s="639">
        <f>J34+J35-J39</f>
        <v>-136235282.79999998</v>
      </c>
      <c r="K42" s="1306">
        <v>47883132.729999997</v>
      </c>
      <c r="M42" s="620"/>
    </row>
    <row r="43" spans="2:21" s="619" customFormat="1" ht="23.25" customHeight="1" x14ac:dyDescent="0.2">
      <c r="B43" s="640" t="s">
        <v>847</v>
      </c>
      <c r="C43" s="641" t="s">
        <v>848</v>
      </c>
      <c r="D43" s="642"/>
      <c r="E43" s="642"/>
      <c r="F43" s="642"/>
      <c r="G43" s="642"/>
      <c r="H43" s="643"/>
      <c r="I43" s="644">
        <f>I35+I36-I40</f>
        <v>-86035873.980000004</v>
      </c>
      <c r="J43" s="639">
        <f>SUM(J44:J46)</f>
        <v>0</v>
      </c>
      <c r="K43" s="644">
        <f>K35+K36-K40</f>
        <v>-150785685.36999989</v>
      </c>
      <c r="M43" s="620"/>
      <c r="N43" s="741"/>
    </row>
    <row r="44" spans="2:21" s="619" customFormat="1" ht="21" customHeight="1" x14ac:dyDescent="0.2">
      <c r="B44" s="640" t="s">
        <v>386</v>
      </c>
      <c r="C44" s="641" t="s">
        <v>116</v>
      </c>
      <c r="D44" s="642"/>
      <c r="E44" s="642"/>
      <c r="F44" s="642"/>
      <c r="G44" s="642"/>
      <c r="H44" s="643"/>
      <c r="I44" s="644">
        <f>SUM(I45:I47)</f>
        <v>2745667.59</v>
      </c>
      <c r="J44" s="645"/>
      <c r="K44" s="644">
        <f>SUM(K45:K47)</f>
        <v>3757764.68</v>
      </c>
      <c r="M44" s="620"/>
      <c r="N44" s="739"/>
    </row>
    <row r="45" spans="2:21" ht="15.75" customHeight="1" x14ac:dyDescent="0.2">
      <c r="B45" s="587" t="s">
        <v>221</v>
      </c>
      <c r="C45" s="621" t="s">
        <v>559</v>
      </c>
      <c r="D45" s="610"/>
      <c r="E45" s="610"/>
      <c r="F45" s="610"/>
      <c r="G45" s="610"/>
      <c r="H45" s="622"/>
      <c r="I45" s="623">
        <v>0</v>
      </c>
      <c r="J45" s="645"/>
      <c r="K45" s="623">
        <v>0</v>
      </c>
      <c r="M45" s="620"/>
    </row>
    <row r="46" spans="2:21" ht="16.5" customHeight="1" x14ac:dyDescent="0.2">
      <c r="B46" s="587" t="s">
        <v>225</v>
      </c>
      <c r="C46" s="621" t="s">
        <v>311</v>
      </c>
      <c r="D46" s="610"/>
      <c r="E46" s="610"/>
      <c r="F46" s="610"/>
      <c r="G46" s="610"/>
      <c r="H46" s="622"/>
      <c r="I46" s="623">
        <f>3203.77+2673417+69046.82</f>
        <v>2745667.59</v>
      </c>
      <c r="J46" s="645"/>
      <c r="K46" s="623">
        <v>3757764.68</v>
      </c>
      <c r="M46" s="620"/>
    </row>
    <row r="47" spans="2:21" ht="15.75" customHeight="1" x14ac:dyDescent="0.2">
      <c r="B47" s="587" t="s">
        <v>366</v>
      </c>
      <c r="C47" s="621" t="s">
        <v>53</v>
      </c>
      <c r="D47" s="610"/>
      <c r="E47" s="610"/>
      <c r="F47" s="610"/>
      <c r="G47" s="610"/>
      <c r="H47" s="622"/>
      <c r="I47" s="623">
        <v>0</v>
      </c>
      <c r="J47" s="639">
        <f>SUM(J48:J49)</f>
        <v>200705.71</v>
      </c>
      <c r="K47" s="623">
        <v>0</v>
      </c>
      <c r="M47" s="620"/>
    </row>
    <row r="48" spans="2:21" s="619" customFormat="1" ht="21.75" customHeight="1" x14ac:dyDescent="0.2">
      <c r="B48" s="640" t="s">
        <v>849</v>
      </c>
      <c r="C48" s="641" t="s">
        <v>388</v>
      </c>
      <c r="D48" s="642"/>
      <c r="E48" s="642"/>
      <c r="F48" s="642"/>
      <c r="G48" s="642"/>
      <c r="H48" s="643"/>
      <c r="I48" s="644">
        <f>SUM(I49:I50)</f>
        <v>1892651.06</v>
      </c>
      <c r="J48" s="635">
        <v>200705.71</v>
      </c>
      <c r="K48" s="644">
        <f>SUM(K49:K50)</f>
        <v>1430975.56</v>
      </c>
      <c r="M48" s="620"/>
      <c r="N48" s="741"/>
    </row>
    <row r="49" spans="2:16" ht="14.25" customHeight="1" x14ac:dyDescent="0.2">
      <c r="B49" s="587" t="s">
        <v>221</v>
      </c>
      <c r="C49" s="621" t="s">
        <v>311</v>
      </c>
      <c r="D49" s="610"/>
      <c r="E49" s="610"/>
      <c r="F49" s="610"/>
      <c r="G49" s="610"/>
      <c r="H49" s="622"/>
      <c r="I49" s="623">
        <v>0</v>
      </c>
      <c r="J49" s="645"/>
      <c r="K49" s="623">
        <v>0</v>
      </c>
      <c r="M49" s="620"/>
    </row>
    <row r="50" spans="2:16" ht="14.25" customHeight="1" x14ac:dyDescent="0.2">
      <c r="B50" s="587" t="s">
        <v>225</v>
      </c>
      <c r="C50" s="621" t="s">
        <v>53</v>
      </c>
      <c r="D50" s="610"/>
      <c r="E50" s="610"/>
      <c r="F50" s="610"/>
      <c r="G50" s="610"/>
      <c r="H50" s="622"/>
      <c r="I50" s="623">
        <f>56125.97+26764.02+1809761.07</f>
        <v>1892651.06</v>
      </c>
      <c r="J50" s="634">
        <f>J42+J43-J47</f>
        <v>-136435988.50999999</v>
      </c>
      <c r="K50" s="623">
        <v>1430975.56</v>
      </c>
      <c r="M50" s="620"/>
    </row>
    <row r="51" spans="2:16" s="619" customFormat="1" ht="25.5" customHeight="1" x14ac:dyDescent="0.2">
      <c r="B51" s="640" t="s">
        <v>221</v>
      </c>
      <c r="C51" s="641" t="s">
        <v>850</v>
      </c>
      <c r="D51" s="642"/>
      <c r="E51" s="642"/>
      <c r="F51" s="642"/>
      <c r="G51" s="642"/>
      <c r="H51" s="643"/>
      <c r="I51" s="644">
        <f>I43+I44-I48</f>
        <v>-85182857.450000003</v>
      </c>
      <c r="J51" s="648"/>
      <c r="K51" s="644">
        <f>K43+K44-K48</f>
        <v>-148458896.24999988</v>
      </c>
      <c r="M51" s="620"/>
      <c r="N51" s="741"/>
    </row>
    <row r="52" spans="2:16" s="619" customFormat="1" ht="21" customHeight="1" x14ac:dyDescent="0.2">
      <c r="B52" s="640" t="s">
        <v>851</v>
      </c>
      <c r="C52" s="641" t="s">
        <v>852</v>
      </c>
      <c r="D52" s="642"/>
      <c r="E52" s="642"/>
      <c r="F52" s="642"/>
      <c r="G52" s="642"/>
      <c r="H52" s="643"/>
      <c r="I52" s="644">
        <v>0</v>
      </c>
      <c r="J52" s="649"/>
      <c r="K52" s="644">
        <v>0</v>
      </c>
      <c r="M52" s="620"/>
      <c r="N52" s="741"/>
    </row>
    <row r="53" spans="2:16" s="619" customFormat="1" ht="29.25" customHeight="1" thickBot="1" x14ac:dyDescent="0.25">
      <c r="B53" s="640" t="s">
        <v>853</v>
      </c>
      <c r="C53" s="1331" t="s">
        <v>854</v>
      </c>
      <c r="D53" s="1328"/>
      <c r="E53" s="1328"/>
      <c r="F53" s="1328"/>
      <c r="G53" s="1328"/>
      <c r="H53" s="643"/>
      <c r="I53" s="644">
        <v>0</v>
      </c>
      <c r="J53" s="649" t="e">
        <f>#REF!-J51-J52</f>
        <v>#REF!</v>
      </c>
      <c r="K53" s="644">
        <v>0</v>
      </c>
      <c r="L53" s="619">
        <v>0</v>
      </c>
      <c r="M53" s="620"/>
      <c r="N53" s="741"/>
    </row>
    <row r="54" spans="2:16" s="619" customFormat="1" ht="24" customHeight="1" thickBot="1" x14ac:dyDescent="0.25">
      <c r="B54" s="650" t="s">
        <v>855</v>
      </c>
      <c r="C54" s="651" t="s">
        <v>856</v>
      </c>
      <c r="D54" s="652"/>
      <c r="E54" s="652"/>
      <c r="F54" s="652"/>
      <c r="G54" s="652"/>
      <c r="H54" s="653"/>
      <c r="I54" s="654">
        <f>I51+I52-I53</f>
        <v>-85182857.450000003</v>
      </c>
      <c r="J54" s="655">
        <v>0</v>
      </c>
      <c r="K54" s="654">
        <f>K51+K52-K53</f>
        <v>-148458896.24999988</v>
      </c>
      <c r="L54" s="619">
        <v>0</v>
      </c>
      <c r="M54" s="620"/>
      <c r="N54" s="741"/>
      <c r="O54" s="738"/>
      <c r="P54" s="620"/>
    </row>
    <row r="55" spans="2:16" ht="14.25" x14ac:dyDescent="0.2">
      <c r="B55" s="656"/>
      <c r="C55" s="619"/>
      <c r="D55" s="619"/>
      <c r="E55" s="620"/>
    </row>
    <row r="58" spans="2:16" x14ac:dyDescent="0.2">
      <c r="C58" s="1324" t="s">
        <v>857</v>
      </c>
      <c r="D58" s="1324"/>
      <c r="K58" s="657" t="s">
        <v>858</v>
      </c>
    </row>
    <row r="60" spans="2:16" x14ac:dyDescent="0.2">
      <c r="F60" s="579" t="s">
        <v>567</v>
      </c>
    </row>
    <row r="61" spans="2:16" x14ac:dyDescent="0.2">
      <c r="C61" s="1324" t="s">
        <v>859</v>
      </c>
      <c r="D61" s="1324"/>
      <c r="K61" s="579" t="s">
        <v>860</v>
      </c>
    </row>
    <row r="62" spans="2:16" x14ac:dyDescent="0.2">
      <c r="F62" s="1332"/>
      <c r="G62" s="1333"/>
      <c r="H62" s="1333"/>
      <c r="I62" s="1333"/>
      <c r="L62" s="658"/>
      <c r="M62" s="658"/>
    </row>
    <row r="63" spans="2:16" x14ac:dyDescent="0.2">
      <c r="C63" s="659"/>
      <c r="D63" s="659"/>
      <c r="E63" s="1324"/>
      <c r="F63" s="1324"/>
      <c r="G63" s="1324"/>
      <c r="H63" s="1324"/>
      <c r="I63" s="1324"/>
    </row>
    <row r="64" spans="2:16" x14ac:dyDescent="0.2">
      <c r="C64" s="1324"/>
      <c r="D64" s="1324"/>
      <c r="E64" s="1324"/>
    </row>
    <row r="65" spans="2:13" x14ac:dyDescent="0.2">
      <c r="B65" s="1323"/>
      <c r="C65" s="1323"/>
      <c r="D65" s="1323"/>
      <c r="E65" s="1324"/>
      <c r="F65" s="1324"/>
      <c r="G65" s="1324"/>
      <c r="H65" s="1324"/>
      <c r="I65" s="1324"/>
    </row>
    <row r="67" spans="2:13" x14ac:dyDescent="0.2">
      <c r="M67" s="660"/>
    </row>
  </sheetData>
  <mergeCells count="20">
    <mergeCell ref="B65:D65"/>
    <mergeCell ref="E65:F65"/>
    <mergeCell ref="G65:I65"/>
    <mergeCell ref="E9:I9"/>
    <mergeCell ref="C18:G18"/>
    <mergeCell ref="C19:G19"/>
    <mergeCell ref="C24:G24"/>
    <mergeCell ref="C41:G41"/>
    <mergeCell ref="C53:G53"/>
    <mergeCell ref="C58:D58"/>
    <mergeCell ref="C61:D61"/>
    <mergeCell ref="F62:I62"/>
    <mergeCell ref="E63:I63"/>
    <mergeCell ref="C64:E64"/>
    <mergeCell ref="E7:I7"/>
    <mergeCell ref="B2:D2"/>
    <mergeCell ref="E3:I3"/>
    <mergeCell ref="E4:I4"/>
    <mergeCell ref="E5:I5"/>
    <mergeCell ref="E6:I6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7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32"/>
  <sheetViews>
    <sheetView topLeftCell="A4" zoomScale="90" zoomScaleNormal="90" workbookViewId="0">
      <selection activeCell="S18" sqref="S18"/>
    </sheetView>
  </sheetViews>
  <sheetFormatPr defaultColWidth="9.140625" defaultRowHeight="15" x14ac:dyDescent="0.2"/>
  <cols>
    <col min="1" max="1" width="5.85546875" style="138" customWidth="1"/>
    <col min="2" max="2" width="21.7109375" style="123" customWidth="1"/>
    <col min="3" max="3" width="41.85546875" style="123" customWidth="1"/>
    <col min="4" max="12" width="13.7109375" style="123" customWidth="1"/>
    <col min="13" max="13" width="23.5703125" style="123" customWidth="1"/>
    <col min="14" max="14" width="1.85546875" style="123" customWidth="1"/>
    <col min="15" max="15" width="9.140625" style="123"/>
    <col min="16" max="16" width="11" style="123" customWidth="1"/>
    <col min="17" max="16384" width="9.140625" style="123"/>
  </cols>
  <sheetData>
    <row r="1" spans="1:20" s="125" customFormat="1" x14ac:dyDescent="0.25">
      <c r="A1" s="174"/>
      <c r="D1" s="175"/>
      <c r="G1" s="175"/>
      <c r="M1" s="175" t="s">
        <v>329</v>
      </c>
    </row>
    <row r="2" spans="1:20" s="125" customFormat="1" ht="61.5" customHeight="1" x14ac:dyDescent="0.25">
      <c r="A2" s="174"/>
      <c r="L2" s="284"/>
      <c r="M2" s="129"/>
      <c r="N2" s="127"/>
      <c r="R2" s="1667"/>
      <c r="S2" s="1667"/>
      <c r="T2" s="1709"/>
    </row>
    <row r="3" spans="1:20" s="136" customFormat="1" x14ac:dyDescent="0.2">
      <c r="A3" s="1776" t="s">
        <v>295</v>
      </c>
      <c r="B3" s="1776"/>
    </row>
    <row r="4" spans="1:20" x14ac:dyDescent="0.2">
      <c r="A4" s="193" t="s">
        <v>303</v>
      </c>
      <c r="B4" s="193"/>
    </row>
    <row r="5" spans="1:20" x14ac:dyDescent="0.2">
      <c r="A5" s="1777" t="s">
        <v>289</v>
      </c>
      <c r="B5" s="1777"/>
      <c r="M5" s="264"/>
    </row>
    <row r="7" spans="1:20" s="125" customFormat="1" ht="69" customHeight="1" thickBot="1" x14ac:dyDescent="0.3">
      <c r="A7" s="1744" t="s">
        <v>1073</v>
      </c>
      <c r="B7" s="1744"/>
      <c r="C7" s="1744"/>
      <c r="D7" s="1744"/>
      <c r="E7" s="1744"/>
      <c r="F7" s="1744"/>
      <c r="G7" s="1744"/>
      <c r="H7" s="1744"/>
      <c r="I7" s="1744"/>
      <c r="J7" s="1744"/>
      <c r="K7" s="1744"/>
      <c r="L7" s="1744"/>
      <c r="M7" s="1744"/>
    </row>
    <row r="8" spans="1:20" ht="60.75" thickBot="1" x14ac:dyDescent="0.25">
      <c r="A8" s="750" t="s">
        <v>131</v>
      </c>
      <c r="B8" s="1778"/>
      <c r="C8" s="1779"/>
      <c r="D8" s="750" t="s">
        <v>945</v>
      </c>
      <c r="E8" s="750" t="s">
        <v>736</v>
      </c>
      <c r="F8" s="750" t="s">
        <v>734</v>
      </c>
      <c r="G8" s="750" t="s">
        <v>962</v>
      </c>
      <c r="H8" s="1057" t="s">
        <v>946</v>
      </c>
      <c r="I8" s="1058" t="s">
        <v>947</v>
      </c>
      <c r="J8" s="750" t="s">
        <v>737</v>
      </c>
      <c r="K8" s="750" t="s">
        <v>732</v>
      </c>
      <c r="L8" s="750" t="s">
        <v>735</v>
      </c>
      <c r="M8" s="750" t="s">
        <v>1074</v>
      </c>
    </row>
    <row r="9" spans="1:20" s="138" customFormat="1" x14ac:dyDescent="0.2">
      <c r="A9" s="751"/>
      <c r="B9" s="1775"/>
      <c r="C9" s="1775"/>
      <c r="D9" s="753">
        <v>4</v>
      </c>
      <c r="E9" s="753">
        <v>3</v>
      </c>
      <c r="F9" s="752">
        <v>1</v>
      </c>
      <c r="G9" s="753">
        <v>4</v>
      </c>
      <c r="H9" s="753">
        <v>5</v>
      </c>
      <c r="I9" s="753">
        <v>6</v>
      </c>
      <c r="J9" s="753">
        <v>5</v>
      </c>
      <c r="K9" s="753">
        <v>6</v>
      </c>
      <c r="L9" s="752">
        <v>2</v>
      </c>
      <c r="M9" s="754"/>
    </row>
    <row r="10" spans="1:20" s="125" customFormat="1" ht="27" customHeight="1" x14ac:dyDescent="0.25">
      <c r="A10" s="755"/>
      <c r="B10" s="1770" t="s">
        <v>307</v>
      </c>
      <c r="C10" s="1771"/>
      <c r="D10" s="427">
        <f>D12+D27+D31</f>
        <v>56486</v>
      </c>
      <c r="E10" s="427">
        <f t="shared" ref="E10:L10" si="0">E12+E27+E31</f>
        <v>0</v>
      </c>
      <c r="F10" s="427">
        <f t="shared" si="0"/>
        <v>0</v>
      </c>
      <c r="G10" s="427">
        <f t="shared" si="0"/>
        <v>0</v>
      </c>
      <c r="H10" s="427">
        <f t="shared" si="0"/>
        <v>896</v>
      </c>
      <c r="I10" s="427">
        <f t="shared" si="0"/>
        <v>185.67</v>
      </c>
      <c r="J10" s="427">
        <f t="shared" si="0"/>
        <v>0</v>
      </c>
      <c r="K10" s="427">
        <f t="shared" si="0"/>
        <v>0</v>
      </c>
      <c r="L10" s="427">
        <f t="shared" si="0"/>
        <v>0</v>
      </c>
      <c r="M10" s="762">
        <f>SUM(D10:L10)</f>
        <v>57567.67</v>
      </c>
    </row>
    <row r="11" spans="1:20" s="125" customFormat="1" ht="27" customHeight="1" thickBot="1" x14ac:dyDescent="0.3">
      <c r="A11" s="756"/>
      <c r="B11" s="1772" t="s">
        <v>308</v>
      </c>
      <c r="C11" s="1773"/>
      <c r="D11" s="757">
        <f>D16+D29+D34</f>
        <v>0</v>
      </c>
      <c r="E11" s="757">
        <f t="shared" ref="E11:L11" si="1">E16+E29+E34</f>
        <v>201718.05</v>
      </c>
      <c r="F11" s="757">
        <f t="shared" si="1"/>
        <v>89754.82</v>
      </c>
      <c r="G11" s="757">
        <f t="shared" si="1"/>
        <v>419286</v>
      </c>
      <c r="H11" s="757">
        <f t="shared" si="1"/>
        <v>0</v>
      </c>
      <c r="I11" s="757">
        <f t="shared" si="1"/>
        <v>0</v>
      </c>
      <c r="J11" s="757">
        <f t="shared" si="1"/>
        <v>1951.2</v>
      </c>
      <c r="K11" s="757">
        <v>393069.44</v>
      </c>
      <c r="L11" s="757">
        <f t="shared" si="1"/>
        <v>593</v>
      </c>
      <c r="M11" s="763">
        <f>SUM(D11:L11)</f>
        <v>1106372.51</v>
      </c>
    </row>
    <row r="12" spans="1:20" s="125" customFormat="1" ht="21" customHeight="1" thickBot="1" x14ac:dyDescent="0.3">
      <c r="A12" s="758" t="s">
        <v>357</v>
      </c>
      <c r="B12" s="1774" t="s">
        <v>358</v>
      </c>
      <c r="C12" s="1774"/>
      <c r="D12" s="759">
        <f t="shared" ref="D12:L12" si="2">SUM(D13:D15)</f>
        <v>56486</v>
      </c>
      <c r="E12" s="759">
        <f t="shared" si="2"/>
        <v>0</v>
      </c>
      <c r="F12" s="759">
        <f t="shared" si="2"/>
        <v>0</v>
      </c>
      <c r="G12" s="759">
        <f t="shared" si="2"/>
        <v>0</v>
      </c>
      <c r="H12" s="759">
        <f t="shared" si="2"/>
        <v>896</v>
      </c>
      <c r="I12" s="759">
        <f t="shared" si="2"/>
        <v>185.67</v>
      </c>
      <c r="J12" s="759">
        <f t="shared" si="2"/>
        <v>0</v>
      </c>
      <c r="K12" s="759">
        <f t="shared" si="2"/>
        <v>0</v>
      </c>
      <c r="L12" s="759">
        <f t="shared" si="2"/>
        <v>0</v>
      </c>
      <c r="M12" s="764">
        <f>SUM(D12:L12)</f>
        <v>57567.67</v>
      </c>
    </row>
    <row r="13" spans="1:20" s="125" customFormat="1" ht="17.25" customHeight="1" x14ac:dyDescent="0.25">
      <c r="A13" s="760" t="s">
        <v>221</v>
      </c>
      <c r="B13" s="1782" t="s">
        <v>359</v>
      </c>
      <c r="C13" s="1782"/>
      <c r="D13" s="766"/>
      <c r="E13" s="766"/>
      <c r="F13" s="765"/>
      <c r="G13" s="766"/>
      <c r="H13" s="766"/>
      <c r="I13" s="766"/>
      <c r="J13" s="766"/>
      <c r="K13" s="766"/>
      <c r="L13" s="766"/>
      <c r="M13" s="767">
        <f>SUM(D13:L13)</f>
        <v>0</v>
      </c>
    </row>
    <row r="14" spans="1:20" s="125" customFormat="1" ht="17.25" customHeight="1" x14ac:dyDescent="0.25">
      <c r="A14" s="285" t="s">
        <v>360</v>
      </c>
      <c r="B14" s="1769" t="s">
        <v>841</v>
      </c>
      <c r="C14" s="1769"/>
      <c r="D14" s="769"/>
      <c r="E14" s="769"/>
      <c r="F14" s="768"/>
      <c r="G14" s="769"/>
      <c r="H14" s="769"/>
      <c r="I14" s="769"/>
      <c r="J14" s="769"/>
      <c r="K14" s="769"/>
      <c r="L14" s="769"/>
      <c r="M14" s="762">
        <f>SUM(F14:L14)</f>
        <v>0</v>
      </c>
    </row>
    <row r="15" spans="1:20" s="125" customFormat="1" ht="17.25" customHeight="1" thickBot="1" x14ac:dyDescent="0.3">
      <c r="A15" s="287" t="s">
        <v>108</v>
      </c>
      <c r="B15" s="1780" t="s">
        <v>361</v>
      </c>
      <c r="C15" s="1780"/>
      <c r="D15" s="771">
        <v>56486</v>
      </c>
      <c r="E15" s="771"/>
      <c r="F15" s="770"/>
      <c r="G15" s="771"/>
      <c r="H15" s="771">
        <v>896</v>
      </c>
      <c r="I15" s="771">
        <v>185.67</v>
      </c>
      <c r="J15" s="771"/>
      <c r="K15" s="771"/>
      <c r="L15" s="771"/>
      <c r="M15" s="763">
        <f>SUM(D15:L15)</f>
        <v>57567.67</v>
      </c>
    </row>
    <row r="16" spans="1:20" s="125" customFormat="1" ht="36" customHeight="1" thickBot="1" x14ac:dyDescent="0.3">
      <c r="A16" s="758" t="s">
        <v>362</v>
      </c>
      <c r="B16" s="1781" t="s">
        <v>363</v>
      </c>
      <c r="C16" s="1781"/>
      <c r="D16" s="772">
        <f t="shared" ref="D16:L16" si="3">SUM(D17:D26)</f>
        <v>0</v>
      </c>
      <c r="E16" s="772">
        <f t="shared" si="3"/>
        <v>201718.05</v>
      </c>
      <c r="F16" s="772">
        <f t="shared" si="3"/>
        <v>89754.82</v>
      </c>
      <c r="G16" s="772">
        <f t="shared" si="3"/>
        <v>419286</v>
      </c>
      <c r="H16" s="772">
        <f t="shared" si="3"/>
        <v>0</v>
      </c>
      <c r="I16" s="772">
        <f t="shared" si="3"/>
        <v>0</v>
      </c>
      <c r="J16" s="772">
        <f t="shared" si="3"/>
        <v>1951.2</v>
      </c>
      <c r="K16" s="772">
        <f t="shared" si="3"/>
        <v>393069.44</v>
      </c>
      <c r="L16" s="772">
        <f t="shared" si="3"/>
        <v>593</v>
      </c>
      <c r="M16" s="764">
        <f>SUM(D16:L16)</f>
        <v>1106372.51</v>
      </c>
    </row>
    <row r="17" spans="1:13" s="125" customFormat="1" ht="17.25" customHeight="1" x14ac:dyDescent="0.25">
      <c r="A17" s="760" t="s">
        <v>221</v>
      </c>
      <c r="B17" s="1782" t="s">
        <v>364</v>
      </c>
      <c r="C17" s="1782"/>
      <c r="D17" s="766"/>
      <c r="E17" s="766"/>
      <c r="F17" s="765"/>
      <c r="G17" s="766"/>
      <c r="H17" s="766"/>
      <c r="I17" s="766"/>
      <c r="J17" s="766"/>
      <c r="K17" s="766"/>
      <c r="L17" s="766"/>
      <c r="M17" s="767">
        <f>SUM(D17:L17)</f>
        <v>0</v>
      </c>
    </row>
    <row r="18" spans="1:13" s="125" customFormat="1" ht="17.25" customHeight="1" x14ac:dyDescent="0.25">
      <c r="A18" s="285" t="s">
        <v>225</v>
      </c>
      <c r="B18" s="1769" t="s">
        <v>365</v>
      </c>
      <c r="C18" s="1769"/>
      <c r="D18" s="769"/>
      <c r="E18" s="769"/>
      <c r="F18" s="768">
        <v>88378.19</v>
      </c>
      <c r="G18" s="769"/>
      <c r="H18" s="769"/>
      <c r="I18" s="769"/>
      <c r="J18" s="769"/>
      <c r="K18" s="769"/>
      <c r="L18" s="769"/>
      <c r="M18" s="762">
        <f t="shared" ref="M18:M23" si="4">SUM(D18:L18)</f>
        <v>88378.19</v>
      </c>
    </row>
    <row r="19" spans="1:13" s="125" customFormat="1" ht="17.25" customHeight="1" x14ac:dyDescent="0.25">
      <c r="A19" s="285" t="s">
        <v>366</v>
      </c>
      <c r="B19" s="1769" t="s">
        <v>371</v>
      </c>
      <c r="C19" s="1769"/>
      <c r="D19" s="769"/>
      <c r="E19" s="769"/>
      <c r="F19" s="768">
        <v>1376.63</v>
      </c>
      <c r="G19" s="769"/>
      <c r="H19" s="769"/>
      <c r="I19" s="769"/>
      <c r="J19" s="769">
        <v>1951.2</v>
      </c>
      <c r="K19" s="769"/>
      <c r="L19" s="769"/>
      <c r="M19" s="762">
        <f t="shared" si="4"/>
        <v>3327.83</v>
      </c>
    </row>
    <row r="20" spans="1:13" s="125" customFormat="1" ht="17.25" customHeight="1" x14ac:dyDescent="0.25">
      <c r="A20" s="285" t="s">
        <v>360</v>
      </c>
      <c r="B20" s="1769" t="s">
        <v>372</v>
      </c>
      <c r="C20" s="1769"/>
      <c r="D20" s="769"/>
      <c r="E20" s="769">
        <v>201718.05</v>
      </c>
      <c r="F20" s="768"/>
      <c r="G20" s="769">
        <v>419286</v>
      </c>
      <c r="H20" s="769"/>
      <c r="I20" s="769"/>
      <c r="J20" s="769"/>
      <c r="K20" s="769">
        <v>393069.44</v>
      </c>
      <c r="L20" s="769">
        <v>593</v>
      </c>
      <c r="M20" s="762">
        <f t="shared" si="4"/>
        <v>1014666.49</v>
      </c>
    </row>
    <row r="21" spans="1:13" s="125" customFormat="1" ht="17.25" customHeight="1" x14ac:dyDescent="0.25">
      <c r="A21" s="285" t="s">
        <v>373</v>
      </c>
      <c r="B21" s="1769" t="s">
        <v>374</v>
      </c>
      <c r="C21" s="1769"/>
      <c r="D21" s="769"/>
      <c r="E21" s="769"/>
      <c r="F21" s="768"/>
      <c r="G21" s="769"/>
      <c r="H21" s="769"/>
      <c r="I21" s="769"/>
      <c r="J21" s="769"/>
      <c r="K21" s="769"/>
      <c r="L21" s="769"/>
      <c r="M21" s="762">
        <f t="shared" si="4"/>
        <v>0</v>
      </c>
    </row>
    <row r="22" spans="1:13" s="125" customFormat="1" ht="17.25" customHeight="1" x14ac:dyDescent="0.25">
      <c r="A22" s="285" t="s">
        <v>108</v>
      </c>
      <c r="B22" s="1769" t="s">
        <v>375</v>
      </c>
      <c r="C22" s="1769"/>
      <c r="D22" s="769"/>
      <c r="E22" s="769"/>
      <c r="F22" s="768"/>
      <c r="G22" s="769"/>
      <c r="H22" s="769"/>
      <c r="I22" s="769"/>
      <c r="J22" s="769"/>
      <c r="K22" s="769"/>
      <c r="L22" s="769"/>
      <c r="M22" s="762">
        <f t="shared" si="4"/>
        <v>0</v>
      </c>
    </row>
    <row r="23" spans="1:13" s="125" customFormat="1" ht="17.25" customHeight="1" x14ac:dyDescent="0.25">
      <c r="A23" s="285" t="s">
        <v>376</v>
      </c>
      <c r="B23" s="1769" t="s">
        <v>377</v>
      </c>
      <c r="C23" s="1769"/>
      <c r="D23" s="769"/>
      <c r="E23" s="769"/>
      <c r="F23" s="768"/>
      <c r="G23" s="769"/>
      <c r="H23" s="769"/>
      <c r="I23" s="769"/>
      <c r="J23" s="769"/>
      <c r="K23" s="769"/>
      <c r="L23" s="769"/>
      <c r="M23" s="762">
        <f t="shared" si="4"/>
        <v>0</v>
      </c>
    </row>
    <row r="24" spans="1:13" s="125" customFormat="1" ht="17.25" customHeight="1" x14ac:dyDescent="0.25">
      <c r="A24" s="285" t="s">
        <v>378</v>
      </c>
      <c r="B24" s="1769" t="s">
        <v>379</v>
      </c>
      <c r="C24" s="1769"/>
      <c r="D24" s="769"/>
      <c r="E24" s="769"/>
      <c r="F24" s="768"/>
      <c r="G24" s="769"/>
      <c r="H24" s="769"/>
      <c r="I24" s="769"/>
      <c r="J24" s="769"/>
      <c r="K24" s="769"/>
      <c r="L24" s="769"/>
      <c r="M24" s="762">
        <f>SUM(D24:L24)</f>
        <v>0</v>
      </c>
    </row>
    <row r="25" spans="1:13" s="125" customFormat="1" ht="17.25" customHeight="1" x14ac:dyDescent="0.25">
      <c r="A25" s="285" t="s">
        <v>309</v>
      </c>
      <c r="B25" s="1786" t="s">
        <v>310</v>
      </c>
      <c r="C25" s="1786"/>
      <c r="D25" s="769"/>
      <c r="E25" s="769"/>
      <c r="F25" s="768"/>
      <c r="G25" s="769"/>
      <c r="H25" s="769"/>
      <c r="I25" s="769"/>
      <c r="J25" s="769"/>
      <c r="K25" s="769"/>
      <c r="L25" s="769"/>
      <c r="M25" s="762">
        <f>SUM(D25:L25)</f>
        <v>0</v>
      </c>
    </row>
    <row r="26" spans="1:13" s="125" customFormat="1" ht="17.25" customHeight="1" thickBot="1" x14ac:dyDescent="0.3">
      <c r="A26" s="287" t="s">
        <v>380</v>
      </c>
      <c r="B26" s="1784" t="s">
        <v>381</v>
      </c>
      <c r="C26" s="1784"/>
      <c r="D26" s="771"/>
      <c r="E26" s="771"/>
      <c r="F26" s="770"/>
      <c r="G26" s="771"/>
      <c r="H26" s="771"/>
      <c r="I26" s="771"/>
      <c r="J26" s="771"/>
      <c r="K26" s="771"/>
      <c r="L26" s="771"/>
      <c r="M26" s="763">
        <f>SUM(D26:L26)</f>
        <v>0</v>
      </c>
    </row>
    <row r="27" spans="1:13" s="286" customFormat="1" ht="15.75" customHeight="1" thickBot="1" x14ac:dyDescent="0.3">
      <c r="A27" s="758" t="s">
        <v>382</v>
      </c>
      <c r="B27" s="1768" t="s">
        <v>383</v>
      </c>
      <c r="C27" s="1768"/>
      <c r="D27" s="759">
        <f t="shared" ref="D27:L27" si="5">SUM(D28)</f>
        <v>0</v>
      </c>
      <c r="E27" s="759">
        <f t="shared" si="5"/>
        <v>0</v>
      </c>
      <c r="F27" s="759">
        <f>SUM(F28)</f>
        <v>0</v>
      </c>
      <c r="G27" s="759">
        <f t="shared" si="5"/>
        <v>0</v>
      </c>
      <c r="H27" s="759">
        <f t="shared" si="5"/>
        <v>0</v>
      </c>
      <c r="I27" s="759">
        <f t="shared" si="5"/>
        <v>0</v>
      </c>
      <c r="J27" s="759">
        <f t="shared" si="5"/>
        <v>0</v>
      </c>
      <c r="K27" s="759">
        <f t="shared" si="5"/>
        <v>0</v>
      </c>
      <c r="L27" s="759">
        <f t="shared" si="5"/>
        <v>0</v>
      </c>
      <c r="M27" s="764">
        <f t="shared" ref="M27:M36" si="6">SUM(F27:L27)</f>
        <v>0</v>
      </c>
    </row>
    <row r="28" spans="1:13" s="125" customFormat="1" ht="17.25" customHeight="1" thickBot="1" x14ac:dyDescent="0.3">
      <c r="A28" s="761" t="s">
        <v>366</v>
      </c>
      <c r="B28" s="1785" t="s">
        <v>384</v>
      </c>
      <c r="C28" s="1785"/>
      <c r="D28" s="775"/>
      <c r="E28" s="775"/>
      <c r="F28" s="773"/>
      <c r="G28" s="775"/>
      <c r="H28" s="775"/>
      <c r="I28" s="775"/>
      <c r="J28" s="775"/>
      <c r="K28" s="775"/>
      <c r="L28" s="774"/>
      <c r="M28" s="776">
        <f t="shared" si="6"/>
        <v>0</v>
      </c>
    </row>
    <row r="29" spans="1:13" s="286" customFormat="1" ht="15.75" customHeight="1" thickBot="1" x14ac:dyDescent="0.3">
      <c r="A29" s="758" t="s">
        <v>385</v>
      </c>
      <c r="B29" s="1768" t="s">
        <v>115</v>
      </c>
      <c r="C29" s="1768"/>
      <c r="D29" s="759">
        <f t="shared" ref="D29:L29" si="7">D30</f>
        <v>0</v>
      </c>
      <c r="E29" s="759">
        <f t="shared" si="7"/>
        <v>0</v>
      </c>
      <c r="F29" s="759">
        <f>F30</f>
        <v>0</v>
      </c>
      <c r="G29" s="759">
        <f t="shared" si="7"/>
        <v>0</v>
      </c>
      <c r="H29" s="759">
        <f t="shared" si="7"/>
        <v>0</v>
      </c>
      <c r="I29" s="759">
        <f t="shared" si="7"/>
        <v>0</v>
      </c>
      <c r="J29" s="759">
        <f t="shared" si="7"/>
        <v>0</v>
      </c>
      <c r="K29" s="759">
        <f t="shared" si="7"/>
        <v>0</v>
      </c>
      <c r="L29" s="759">
        <f t="shared" si="7"/>
        <v>0</v>
      </c>
      <c r="M29" s="764">
        <f t="shared" si="6"/>
        <v>0</v>
      </c>
    </row>
    <row r="30" spans="1:13" s="125" customFormat="1" ht="17.25" customHeight="1" thickBot="1" x14ac:dyDescent="0.3">
      <c r="A30" s="761" t="s">
        <v>225</v>
      </c>
      <c r="B30" s="1785" t="s">
        <v>115</v>
      </c>
      <c r="C30" s="1785"/>
      <c r="D30" s="775"/>
      <c r="E30" s="775"/>
      <c r="F30" s="773"/>
      <c r="G30" s="775"/>
      <c r="H30" s="775"/>
      <c r="I30" s="775"/>
      <c r="J30" s="775"/>
      <c r="K30" s="775"/>
      <c r="L30" s="774"/>
      <c r="M30" s="776">
        <f t="shared" si="6"/>
        <v>0</v>
      </c>
    </row>
    <row r="31" spans="1:13" s="125" customFormat="1" ht="17.25" customHeight="1" thickBot="1" x14ac:dyDescent="0.3">
      <c r="A31" s="758" t="s">
        <v>386</v>
      </c>
      <c r="B31" s="1768" t="s">
        <v>116</v>
      </c>
      <c r="C31" s="1768"/>
      <c r="D31" s="759">
        <f t="shared" ref="D31:L31" si="8">SUM(D32:D33)</f>
        <v>0</v>
      </c>
      <c r="E31" s="759">
        <f t="shared" si="8"/>
        <v>0</v>
      </c>
      <c r="F31" s="759">
        <f t="shared" si="8"/>
        <v>0</v>
      </c>
      <c r="G31" s="759">
        <f t="shared" si="8"/>
        <v>0</v>
      </c>
      <c r="H31" s="759">
        <f t="shared" si="8"/>
        <v>0</v>
      </c>
      <c r="I31" s="759">
        <f t="shared" si="8"/>
        <v>0</v>
      </c>
      <c r="J31" s="759">
        <f t="shared" si="8"/>
        <v>0</v>
      </c>
      <c r="K31" s="759">
        <f t="shared" si="8"/>
        <v>0</v>
      </c>
      <c r="L31" s="759">
        <f t="shared" si="8"/>
        <v>0</v>
      </c>
      <c r="M31" s="764">
        <f t="shared" si="6"/>
        <v>0</v>
      </c>
    </row>
    <row r="32" spans="1:13" s="125" customFormat="1" ht="16.5" customHeight="1" x14ac:dyDescent="0.25">
      <c r="A32" s="760" t="s">
        <v>225</v>
      </c>
      <c r="B32" s="1783" t="s">
        <v>311</v>
      </c>
      <c r="C32" s="1783"/>
      <c r="D32" s="753"/>
      <c r="E32" s="753"/>
      <c r="F32" s="765"/>
      <c r="G32" s="753"/>
      <c r="H32" s="753"/>
      <c r="I32" s="753"/>
      <c r="J32" s="753"/>
      <c r="K32" s="753"/>
      <c r="L32" s="766"/>
      <c r="M32" s="767">
        <f t="shared" si="6"/>
        <v>0</v>
      </c>
    </row>
    <row r="33" spans="1:13" s="125" customFormat="1" ht="17.25" customHeight="1" thickBot="1" x14ac:dyDescent="0.3">
      <c r="A33" s="287" t="s">
        <v>366</v>
      </c>
      <c r="B33" s="1784" t="s">
        <v>53</v>
      </c>
      <c r="C33" s="1784"/>
      <c r="D33" s="777"/>
      <c r="E33" s="777"/>
      <c r="F33" s="770"/>
      <c r="G33" s="777"/>
      <c r="H33" s="777"/>
      <c r="I33" s="777"/>
      <c r="J33" s="777"/>
      <c r="K33" s="777"/>
      <c r="L33" s="771"/>
      <c r="M33" s="763">
        <f t="shared" si="6"/>
        <v>0</v>
      </c>
    </row>
    <row r="34" spans="1:13" s="286" customFormat="1" ht="17.25" customHeight="1" thickBot="1" x14ac:dyDescent="0.3">
      <c r="A34" s="758" t="s">
        <v>387</v>
      </c>
      <c r="B34" s="1768" t="s">
        <v>388</v>
      </c>
      <c r="C34" s="1768"/>
      <c r="D34" s="759">
        <f t="shared" ref="D34:L34" si="9">SUM(D35:D36)</f>
        <v>0</v>
      </c>
      <c r="E34" s="759">
        <f t="shared" si="9"/>
        <v>0</v>
      </c>
      <c r="F34" s="759">
        <f t="shared" si="9"/>
        <v>0</v>
      </c>
      <c r="G34" s="759">
        <f t="shared" si="9"/>
        <v>0</v>
      </c>
      <c r="H34" s="759">
        <f t="shared" si="9"/>
        <v>0</v>
      </c>
      <c r="I34" s="759">
        <f t="shared" si="9"/>
        <v>0</v>
      </c>
      <c r="J34" s="759">
        <f t="shared" si="9"/>
        <v>0</v>
      </c>
      <c r="K34" s="759">
        <f t="shared" si="9"/>
        <v>0</v>
      </c>
      <c r="L34" s="759">
        <f t="shared" si="9"/>
        <v>0</v>
      </c>
      <c r="M34" s="764">
        <f t="shared" si="6"/>
        <v>0</v>
      </c>
    </row>
    <row r="35" spans="1:13" s="125" customFormat="1" ht="19.5" customHeight="1" x14ac:dyDescent="0.25">
      <c r="A35" s="760" t="s">
        <v>221</v>
      </c>
      <c r="B35" s="1783" t="s">
        <v>311</v>
      </c>
      <c r="C35" s="1783"/>
      <c r="D35" s="753"/>
      <c r="E35" s="753"/>
      <c r="F35" s="765"/>
      <c r="G35" s="753"/>
      <c r="H35" s="753"/>
      <c r="I35" s="753"/>
      <c r="J35" s="753"/>
      <c r="K35" s="753"/>
      <c r="L35" s="766"/>
      <c r="M35" s="767">
        <f t="shared" si="6"/>
        <v>0</v>
      </c>
    </row>
    <row r="36" spans="1:13" s="125" customFormat="1" ht="19.5" customHeight="1" thickBot="1" x14ac:dyDescent="0.3">
      <c r="A36" s="287" t="s">
        <v>225</v>
      </c>
      <c r="B36" s="1784" t="s">
        <v>53</v>
      </c>
      <c r="C36" s="1784"/>
      <c r="D36" s="777"/>
      <c r="E36" s="777"/>
      <c r="F36" s="770"/>
      <c r="G36" s="777"/>
      <c r="H36" s="777"/>
      <c r="I36" s="777"/>
      <c r="J36" s="777"/>
      <c r="K36" s="777"/>
      <c r="L36" s="771"/>
      <c r="M36" s="763">
        <f t="shared" si="6"/>
        <v>0</v>
      </c>
    </row>
    <row r="37" spans="1:13" s="175" customFormat="1" ht="15" customHeight="1" x14ac:dyDescent="0.25">
      <c r="A37" s="244"/>
      <c r="F37" s="224"/>
    </row>
    <row r="38" spans="1:13" s="227" customFormat="1" ht="12.75" customHeight="1" x14ac:dyDescent="0.25">
      <c r="A38" s="125" t="s">
        <v>141</v>
      </c>
      <c r="F38" s="288"/>
      <c r="L38" s="289"/>
    </row>
    <row r="39" spans="1:13" s="125" customFormat="1" ht="11.25" customHeight="1" x14ac:dyDescent="0.25">
      <c r="A39" s="174"/>
      <c r="B39" s="227"/>
      <c r="F39" s="228"/>
      <c r="L39" s="290"/>
    </row>
    <row r="40" spans="1:13" s="125" customFormat="1" ht="9.75" customHeight="1" x14ac:dyDescent="0.25">
      <c r="A40" s="174"/>
      <c r="F40" s="228"/>
      <c r="L40" s="274"/>
    </row>
    <row r="41" spans="1:13" x14ac:dyDescent="0.2">
      <c r="B41" s="126"/>
      <c r="C41" s="126"/>
    </row>
    <row r="42" spans="1:13" x14ac:dyDescent="0.2">
      <c r="A42" s="138" t="s">
        <v>322</v>
      </c>
      <c r="C42" s="138" t="s">
        <v>304</v>
      </c>
      <c r="F42" s="218"/>
      <c r="L42" s="218"/>
    </row>
    <row r="43" spans="1:13" ht="12.75" customHeight="1" x14ac:dyDescent="0.2">
      <c r="A43" s="126" t="s">
        <v>320</v>
      </c>
      <c r="B43" s="126"/>
      <c r="C43" s="138" t="s">
        <v>290</v>
      </c>
      <c r="F43" s="260"/>
      <c r="L43" s="260"/>
    </row>
    <row r="44" spans="1:13" x14ac:dyDescent="0.2">
      <c r="B44" s="126"/>
      <c r="C44" s="126"/>
    </row>
    <row r="45" spans="1:13" x14ac:dyDescent="0.2">
      <c r="B45" s="126"/>
      <c r="C45" s="126"/>
    </row>
    <row r="46" spans="1:13" x14ac:dyDescent="0.2">
      <c r="B46" s="126"/>
      <c r="C46" s="126"/>
    </row>
    <row r="47" spans="1:13" x14ac:dyDescent="0.2">
      <c r="B47" s="126"/>
      <c r="C47" s="126"/>
    </row>
    <row r="48" spans="1:13" x14ac:dyDescent="0.2">
      <c r="B48" s="126"/>
      <c r="C48" s="126"/>
    </row>
    <row r="49" spans="2:3" x14ac:dyDescent="0.2">
      <c r="B49" s="126"/>
      <c r="C49" s="126"/>
    </row>
    <row r="50" spans="2:3" x14ac:dyDescent="0.2">
      <c r="B50" s="126"/>
      <c r="C50" s="126"/>
    </row>
    <row r="51" spans="2:3" x14ac:dyDescent="0.2">
      <c r="B51" s="126"/>
      <c r="C51" s="126"/>
    </row>
    <row r="52" spans="2:3" x14ac:dyDescent="0.2">
      <c r="B52" s="126"/>
      <c r="C52" s="126"/>
    </row>
    <row r="53" spans="2:3" x14ac:dyDescent="0.2">
      <c r="B53" s="126"/>
      <c r="C53" s="126"/>
    </row>
    <row r="54" spans="2:3" x14ac:dyDescent="0.2">
      <c r="B54" s="126"/>
      <c r="C54" s="126"/>
    </row>
    <row r="55" spans="2:3" x14ac:dyDescent="0.2">
      <c r="B55" s="126"/>
      <c r="C55" s="126"/>
    </row>
    <row r="56" spans="2:3" x14ac:dyDescent="0.2">
      <c r="B56" s="126"/>
      <c r="C56" s="126"/>
    </row>
    <row r="57" spans="2:3" x14ac:dyDescent="0.2">
      <c r="B57" s="126"/>
      <c r="C57" s="126"/>
    </row>
    <row r="58" spans="2:3" x14ac:dyDescent="0.2">
      <c r="B58" s="126"/>
      <c r="C58" s="126"/>
    </row>
    <row r="59" spans="2:3" x14ac:dyDescent="0.2">
      <c r="B59" s="126"/>
      <c r="C59" s="126"/>
    </row>
    <row r="60" spans="2:3" x14ac:dyDescent="0.2">
      <c r="B60" s="126"/>
      <c r="C60" s="126"/>
    </row>
    <row r="61" spans="2:3" x14ac:dyDescent="0.2">
      <c r="B61" s="126"/>
      <c r="C61" s="126"/>
    </row>
    <row r="62" spans="2:3" x14ac:dyDescent="0.2">
      <c r="B62" s="126"/>
      <c r="C62" s="126"/>
    </row>
    <row r="63" spans="2:3" x14ac:dyDescent="0.2">
      <c r="B63" s="126"/>
      <c r="C63" s="126"/>
    </row>
    <row r="64" spans="2:3" x14ac:dyDescent="0.2">
      <c r="B64" s="126"/>
      <c r="C64" s="126"/>
    </row>
    <row r="65" spans="2:3" x14ac:dyDescent="0.2">
      <c r="B65" s="126"/>
      <c r="C65" s="126"/>
    </row>
    <row r="66" spans="2:3" x14ac:dyDescent="0.2">
      <c r="B66" s="126"/>
      <c r="C66" s="126"/>
    </row>
    <row r="67" spans="2:3" x14ac:dyDescent="0.2">
      <c r="B67" s="126"/>
      <c r="C67" s="126"/>
    </row>
    <row r="68" spans="2:3" x14ac:dyDescent="0.2">
      <c r="B68" s="126"/>
      <c r="C68" s="126"/>
    </row>
    <row r="69" spans="2:3" x14ac:dyDescent="0.2">
      <c r="B69" s="126"/>
      <c r="C69" s="126"/>
    </row>
    <row r="70" spans="2:3" x14ac:dyDescent="0.2">
      <c r="B70" s="126"/>
      <c r="C70" s="126"/>
    </row>
    <row r="71" spans="2:3" x14ac:dyDescent="0.2">
      <c r="B71" s="126"/>
      <c r="C71" s="126"/>
    </row>
    <row r="72" spans="2:3" x14ac:dyDescent="0.2">
      <c r="B72" s="126"/>
      <c r="C72" s="126"/>
    </row>
    <row r="73" spans="2:3" x14ac:dyDescent="0.2">
      <c r="B73" s="126"/>
      <c r="C73" s="126"/>
    </row>
    <row r="74" spans="2:3" x14ac:dyDescent="0.2">
      <c r="B74" s="126"/>
      <c r="C74" s="126"/>
    </row>
    <row r="75" spans="2:3" x14ac:dyDescent="0.2">
      <c r="B75" s="126"/>
      <c r="C75" s="126"/>
    </row>
    <row r="76" spans="2:3" x14ac:dyDescent="0.2">
      <c r="B76" s="126"/>
      <c r="C76" s="126"/>
    </row>
    <row r="77" spans="2:3" x14ac:dyDescent="0.2">
      <c r="B77" s="126"/>
      <c r="C77" s="126"/>
    </row>
    <row r="78" spans="2:3" x14ac:dyDescent="0.2">
      <c r="B78" s="126"/>
      <c r="C78" s="126"/>
    </row>
    <row r="79" spans="2:3" x14ac:dyDescent="0.2">
      <c r="B79" s="126"/>
      <c r="C79" s="126"/>
    </row>
    <row r="80" spans="2:3" x14ac:dyDescent="0.2">
      <c r="B80" s="126"/>
      <c r="C80" s="126"/>
    </row>
    <row r="81" spans="2:3" x14ac:dyDescent="0.2">
      <c r="B81" s="126"/>
      <c r="C81" s="126"/>
    </row>
    <row r="82" spans="2:3" x14ac:dyDescent="0.2">
      <c r="B82" s="126"/>
      <c r="C82" s="126"/>
    </row>
    <row r="83" spans="2:3" x14ac:dyDescent="0.2">
      <c r="B83" s="126"/>
      <c r="C83" s="126"/>
    </row>
    <row r="84" spans="2:3" x14ac:dyDescent="0.2">
      <c r="B84" s="126"/>
      <c r="C84" s="126"/>
    </row>
    <row r="85" spans="2:3" x14ac:dyDescent="0.2">
      <c r="B85" s="126"/>
      <c r="C85" s="126"/>
    </row>
    <row r="86" spans="2:3" x14ac:dyDescent="0.2">
      <c r="B86" s="126"/>
      <c r="C86" s="126"/>
    </row>
    <row r="87" spans="2:3" x14ac:dyDescent="0.2">
      <c r="B87" s="126"/>
      <c r="C87" s="126"/>
    </row>
    <row r="88" spans="2:3" x14ac:dyDescent="0.2">
      <c r="B88" s="126"/>
      <c r="C88" s="126"/>
    </row>
    <row r="89" spans="2:3" x14ac:dyDescent="0.2">
      <c r="B89" s="126"/>
      <c r="C89" s="126"/>
    </row>
    <row r="90" spans="2:3" x14ac:dyDescent="0.2">
      <c r="B90" s="126"/>
      <c r="C90" s="126"/>
    </row>
    <row r="91" spans="2:3" x14ac:dyDescent="0.2">
      <c r="B91" s="126"/>
      <c r="C91" s="126"/>
    </row>
    <row r="92" spans="2:3" x14ac:dyDescent="0.2">
      <c r="B92" s="126"/>
      <c r="C92" s="126"/>
    </row>
    <row r="93" spans="2:3" x14ac:dyDescent="0.2">
      <c r="B93" s="126"/>
      <c r="C93" s="126"/>
    </row>
    <row r="94" spans="2:3" x14ac:dyDescent="0.2">
      <c r="B94" s="126"/>
      <c r="C94" s="126"/>
    </row>
    <row r="95" spans="2:3" x14ac:dyDescent="0.2">
      <c r="B95" s="126"/>
      <c r="C95" s="126"/>
    </row>
    <row r="96" spans="2:3" x14ac:dyDescent="0.2">
      <c r="B96" s="126"/>
      <c r="C96" s="126"/>
    </row>
    <row r="97" spans="2:3" x14ac:dyDescent="0.2">
      <c r="B97" s="126"/>
      <c r="C97" s="126"/>
    </row>
    <row r="98" spans="2:3" x14ac:dyDescent="0.2">
      <c r="B98" s="126"/>
      <c r="C98" s="126"/>
    </row>
    <row r="99" spans="2:3" x14ac:dyDescent="0.2">
      <c r="B99" s="126"/>
      <c r="C99" s="126"/>
    </row>
    <row r="100" spans="2:3" x14ac:dyDescent="0.2">
      <c r="B100" s="126"/>
      <c r="C100" s="126"/>
    </row>
    <row r="101" spans="2:3" x14ac:dyDescent="0.2">
      <c r="B101" s="126"/>
      <c r="C101" s="126"/>
    </row>
    <row r="102" spans="2:3" x14ac:dyDescent="0.2">
      <c r="B102" s="126"/>
      <c r="C102" s="126"/>
    </row>
    <row r="103" spans="2:3" x14ac:dyDescent="0.2">
      <c r="B103" s="126"/>
      <c r="C103" s="126"/>
    </row>
    <row r="104" spans="2:3" x14ac:dyDescent="0.2">
      <c r="B104" s="126"/>
      <c r="C104" s="126"/>
    </row>
    <row r="105" spans="2:3" x14ac:dyDescent="0.2">
      <c r="B105" s="126"/>
      <c r="C105" s="126"/>
    </row>
    <row r="106" spans="2:3" x14ac:dyDescent="0.2">
      <c r="B106" s="126"/>
      <c r="C106" s="126"/>
    </row>
    <row r="107" spans="2:3" x14ac:dyDescent="0.2">
      <c r="B107" s="126"/>
      <c r="C107" s="126"/>
    </row>
    <row r="108" spans="2:3" x14ac:dyDescent="0.2">
      <c r="B108" s="126"/>
      <c r="C108" s="126"/>
    </row>
    <row r="109" spans="2:3" x14ac:dyDescent="0.2">
      <c r="B109" s="126"/>
      <c r="C109" s="126"/>
    </row>
    <row r="110" spans="2:3" x14ac:dyDescent="0.2">
      <c r="B110" s="126"/>
      <c r="C110" s="126"/>
    </row>
    <row r="111" spans="2:3" x14ac:dyDescent="0.2">
      <c r="B111" s="126"/>
      <c r="C111" s="126"/>
    </row>
    <row r="112" spans="2:3" x14ac:dyDescent="0.2">
      <c r="B112" s="126"/>
      <c r="C112" s="126"/>
    </row>
    <row r="113" spans="2:3" x14ac:dyDescent="0.2">
      <c r="B113" s="126"/>
      <c r="C113" s="126"/>
    </row>
    <row r="114" spans="2:3" x14ac:dyDescent="0.2">
      <c r="B114" s="126"/>
      <c r="C114" s="126"/>
    </row>
    <row r="115" spans="2:3" x14ac:dyDescent="0.2">
      <c r="B115" s="126"/>
      <c r="C115" s="126"/>
    </row>
    <row r="116" spans="2:3" x14ac:dyDescent="0.2">
      <c r="B116" s="126"/>
      <c r="C116" s="126"/>
    </row>
    <row r="117" spans="2:3" x14ac:dyDescent="0.2">
      <c r="B117" s="126"/>
      <c r="C117" s="126"/>
    </row>
    <row r="118" spans="2:3" x14ac:dyDescent="0.2">
      <c r="B118" s="126"/>
      <c r="C118" s="126"/>
    </row>
    <row r="119" spans="2:3" x14ac:dyDescent="0.2">
      <c r="B119" s="126"/>
      <c r="C119" s="126"/>
    </row>
    <row r="120" spans="2:3" x14ac:dyDescent="0.2">
      <c r="B120" s="126"/>
      <c r="C120" s="126"/>
    </row>
    <row r="121" spans="2:3" x14ac:dyDescent="0.2">
      <c r="B121" s="126"/>
      <c r="C121" s="126"/>
    </row>
    <row r="122" spans="2:3" x14ac:dyDescent="0.2">
      <c r="B122" s="126"/>
      <c r="C122" s="126"/>
    </row>
    <row r="123" spans="2:3" x14ac:dyDescent="0.2">
      <c r="B123" s="126"/>
      <c r="C123" s="126"/>
    </row>
    <row r="124" spans="2:3" x14ac:dyDescent="0.2">
      <c r="B124" s="126"/>
      <c r="C124" s="126"/>
    </row>
    <row r="125" spans="2:3" x14ac:dyDescent="0.2">
      <c r="B125" s="126"/>
      <c r="C125" s="126"/>
    </row>
    <row r="126" spans="2:3" x14ac:dyDescent="0.2">
      <c r="B126" s="126"/>
      <c r="C126" s="126"/>
    </row>
    <row r="127" spans="2:3" x14ac:dyDescent="0.2">
      <c r="B127" s="126"/>
      <c r="C127" s="126"/>
    </row>
    <row r="128" spans="2:3" x14ac:dyDescent="0.2">
      <c r="B128" s="126"/>
      <c r="C128" s="126"/>
    </row>
    <row r="129" spans="2:3" x14ac:dyDescent="0.2">
      <c r="B129" s="126"/>
      <c r="C129" s="126"/>
    </row>
    <row r="130" spans="2:3" x14ac:dyDescent="0.2">
      <c r="B130" s="126"/>
      <c r="C130" s="126"/>
    </row>
    <row r="131" spans="2:3" x14ac:dyDescent="0.2">
      <c r="B131" s="126"/>
      <c r="C131" s="126"/>
    </row>
    <row r="132" spans="2:3" x14ac:dyDescent="0.2">
      <c r="B132" s="126"/>
      <c r="C132" s="126"/>
    </row>
  </sheetData>
  <customSheetViews>
    <customSheetView guid="{DE9178B7-7BAA-4669-9575-43FAD4CFD495}">
      <selection activeCell="E16" sqref="E16"/>
      <pageMargins left="0.2" right="0.19" top="0.25" bottom="0.28999999999999998" header="0.18" footer="0.18"/>
      <pageSetup paperSize="9" scale="65" orientation="landscape" r:id="rId1"/>
      <headerFooter alignWithMargins="0"/>
    </customSheetView>
  </customSheetViews>
  <mergeCells count="33">
    <mergeCell ref="B14:C14"/>
    <mergeCell ref="B26:C26"/>
    <mergeCell ref="B22:C22"/>
    <mergeCell ref="B23:C23"/>
    <mergeCell ref="B20:C20"/>
    <mergeCell ref="B17:C17"/>
    <mergeCell ref="B25:C25"/>
    <mergeCell ref="B24:C24"/>
    <mergeCell ref="B21:C21"/>
    <mergeCell ref="B34:C34"/>
    <mergeCell ref="B35:C35"/>
    <mergeCell ref="B36:C36"/>
    <mergeCell ref="B33:C33"/>
    <mergeCell ref="B28:C28"/>
    <mergeCell ref="B32:C32"/>
    <mergeCell ref="B31:C31"/>
    <mergeCell ref="B30:C30"/>
    <mergeCell ref="R2:T2"/>
    <mergeCell ref="B27:C27"/>
    <mergeCell ref="B29:C29"/>
    <mergeCell ref="B19:C19"/>
    <mergeCell ref="B10:C10"/>
    <mergeCell ref="B11:C11"/>
    <mergeCell ref="B12:C12"/>
    <mergeCell ref="B9:C9"/>
    <mergeCell ref="A3:B3"/>
    <mergeCell ref="A5:B5"/>
    <mergeCell ref="A7:M7"/>
    <mergeCell ref="B8:C8"/>
    <mergeCell ref="B15:C15"/>
    <mergeCell ref="B18:C18"/>
    <mergeCell ref="B16:C16"/>
    <mergeCell ref="B13:C13"/>
  </mergeCells>
  <phoneticPr fontId="32" type="noConversion"/>
  <pageMargins left="0.19685039370078741" right="0.19685039370078741" top="0.23622047244094491" bottom="0.27559055118110237" header="0.19685039370078741" footer="0.19685039370078741"/>
  <pageSetup paperSize="9" scale="64" orientation="landscape" r:id="rId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view="pageBreakPreview" zoomScale="90" zoomScaleNormal="100" zoomScaleSheetLayoutView="90" workbookViewId="0">
      <selection activeCell="O19" sqref="O19"/>
    </sheetView>
  </sheetViews>
  <sheetFormatPr defaultColWidth="9.140625" defaultRowHeight="15" x14ac:dyDescent="0.2"/>
  <cols>
    <col min="1" max="1" width="6.5703125" style="123" customWidth="1"/>
    <col min="2" max="2" width="44" style="123" customWidth="1"/>
    <col min="3" max="3" width="37.42578125" style="123" customWidth="1"/>
    <col min="4" max="4" width="32.42578125" style="123" customWidth="1"/>
    <col min="5" max="5" width="13.140625" style="123" customWidth="1"/>
    <col min="6" max="6" width="12.140625" style="123" customWidth="1"/>
    <col min="7" max="16384" width="9.140625" style="123"/>
  </cols>
  <sheetData>
    <row r="1" spans="1:13" s="125" customFormat="1" x14ac:dyDescent="0.25">
      <c r="C1" s="124" t="s">
        <v>356</v>
      </c>
      <c r="D1" s="124"/>
    </row>
    <row r="2" spans="1:13" s="125" customFormat="1" ht="61.5" customHeight="1" x14ac:dyDescent="0.25">
      <c r="C2" s="1667" t="s">
        <v>508</v>
      </c>
      <c r="D2" s="1709"/>
      <c r="E2" s="129"/>
      <c r="F2" s="127"/>
      <c r="G2" s="127"/>
      <c r="J2" s="1667"/>
      <c r="K2" s="1667"/>
      <c r="L2" s="1709"/>
    </row>
    <row r="3" spans="1:13" s="136" customFormat="1" ht="16.5" customHeight="1" x14ac:dyDescent="0.2">
      <c r="A3" s="262" t="s">
        <v>324</v>
      </c>
      <c r="B3" s="262"/>
      <c r="D3" s="291"/>
      <c r="M3" s="262"/>
    </row>
    <row r="4" spans="1:13" x14ac:dyDescent="0.2">
      <c r="A4" s="263" t="s">
        <v>288</v>
      </c>
      <c r="B4" s="263"/>
    </row>
    <row r="5" spans="1:13" x14ac:dyDescent="0.25">
      <c r="A5" s="263" t="s">
        <v>289</v>
      </c>
      <c r="B5" s="263"/>
      <c r="J5" s="1667"/>
      <c r="K5" s="1709"/>
    </row>
    <row r="6" spans="1:13" x14ac:dyDescent="0.2">
      <c r="A6" s="263"/>
      <c r="B6" s="263"/>
    </row>
    <row r="7" spans="1:13" ht="45" customHeight="1" x14ac:dyDescent="0.2">
      <c r="A7" s="1744" t="s">
        <v>1104</v>
      </c>
      <c r="B7" s="1744"/>
      <c r="C7" s="1744"/>
      <c r="D7" s="1744"/>
    </row>
    <row r="8" spans="1:13" ht="18.75" customHeight="1" thickBot="1" x14ac:dyDescent="0.25">
      <c r="A8" s="292"/>
      <c r="B8" s="292"/>
      <c r="C8" s="292"/>
      <c r="D8" s="292"/>
    </row>
    <row r="9" spans="1:13" ht="75" customHeight="1" thickBot="1" x14ac:dyDescent="0.25">
      <c r="A9" s="144" t="s">
        <v>204</v>
      </c>
      <c r="B9" s="293" t="s">
        <v>205</v>
      </c>
      <c r="C9" s="178" t="s">
        <v>325</v>
      </c>
      <c r="D9" s="178" t="s">
        <v>326</v>
      </c>
    </row>
    <row r="10" spans="1:13" ht="30.75" thickBot="1" x14ac:dyDescent="0.25">
      <c r="A10" s="294">
        <v>1</v>
      </c>
      <c r="B10" s="295" t="s">
        <v>956</v>
      </c>
      <c r="C10" s="742" t="s">
        <v>958</v>
      </c>
      <c r="D10" s="295" t="s">
        <v>957</v>
      </c>
    </row>
    <row r="11" spans="1:13" ht="22.5" customHeight="1" thickBot="1" x14ac:dyDescent="0.25">
      <c r="A11" s="294"/>
      <c r="B11" s="295"/>
      <c r="C11" s="295"/>
      <c r="D11" s="295"/>
    </row>
    <row r="12" spans="1:13" ht="22.5" customHeight="1" thickBot="1" x14ac:dyDescent="0.25">
      <c r="A12" s="294"/>
      <c r="B12" s="295"/>
      <c r="C12" s="295"/>
      <c r="D12" s="295"/>
    </row>
    <row r="13" spans="1:13" ht="22.5" customHeight="1" thickBot="1" x14ac:dyDescent="0.25">
      <c r="A13" s="294"/>
      <c r="B13" s="295"/>
      <c r="C13" s="295"/>
      <c r="D13" s="295"/>
    </row>
    <row r="14" spans="1:13" ht="22.5" customHeight="1" thickBot="1" x14ac:dyDescent="0.25">
      <c r="A14" s="294"/>
      <c r="B14" s="295"/>
      <c r="C14" s="295"/>
      <c r="D14" s="295"/>
    </row>
    <row r="15" spans="1:13" ht="22.5" customHeight="1" thickBot="1" x14ac:dyDescent="0.25">
      <c r="A15" s="294"/>
      <c r="B15" s="295"/>
      <c r="C15" s="295"/>
      <c r="D15" s="295"/>
    </row>
    <row r="16" spans="1:13" ht="22.5" customHeight="1" thickBot="1" x14ac:dyDescent="0.25">
      <c r="A16" s="294"/>
      <c r="B16" s="295"/>
      <c r="C16" s="295"/>
      <c r="D16" s="295"/>
    </row>
    <row r="17" spans="1:5" ht="22.5" customHeight="1" thickBot="1" x14ac:dyDescent="0.25">
      <c r="A17" s="296"/>
      <c r="B17" s="297"/>
      <c r="C17" s="297"/>
      <c r="D17" s="297"/>
    </row>
    <row r="18" spans="1:5" ht="13.5" customHeight="1" x14ac:dyDescent="0.2">
      <c r="A18" s="126" t="s">
        <v>355</v>
      </c>
      <c r="B18" s="126"/>
      <c r="C18" s="126"/>
    </row>
    <row r="19" spans="1:5" ht="16.5" customHeight="1" x14ac:dyDescent="0.2">
      <c r="A19" s="126" t="s">
        <v>32</v>
      </c>
      <c r="B19" s="126"/>
      <c r="C19" s="126"/>
    </row>
    <row r="20" spans="1:5" ht="16.5" customHeight="1" x14ac:dyDescent="0.2">
      <c r="A20" s="126"/>
      <c r="B20" s="126"/>
      <c r="C20" s="126"/>
    </row>
    <row r="21" spans="1:5" ht="16.5" customHeight="1" x14ac:dyDescent="0.2">
      <c r="A21" s="126"/>
      <c r="B21" s="126"/>
      <c r="C21" s="126"/>
    </row>
    <row r="22" spans="1:5" ht="16.5" customHeight="1" x14ac:dyDescent="0.2">
      <c r="A22" s="126" t="s">
        <v>328</v>
      </c>
      <c r="B22" s="126"/>
      <c r="C22" s="138" t="s">
        <v>323</v>
      </c>
      <c r="D22" s="1787"/>
      <c r="E22" s="1787"/>
    </row>
    <row r="23" spans="1:5" x14ac:dyDescent="0.2">
      <c r="A23" s="126" t="s">
        <v>327</v>
      </c>
      <c r="B23" s="126"/>
      <c r="C23" s="138" t="s">
        <v>290</v>
      </c>
      <c r="D23" s="1787"/>
      <c r="E23" s="1787"/>
    </row>
  </sheetData>
  <customSheetViews>
    <customSheetView guid="{17151551-8460-47BF-8C20-7FE2DB216614}" showRuler="0">
      <selection activeCell="C6" sqref="C6"/>
      <pageMargins left="1.02" right="0.75" top="0.28999999999999998" bottom="0.32" header="0.27" footer="0.25"/>
      <pageSetup paperSize="9" scale="97" orientation="landscape" r:id="rId1"/>
      <headerFooter alignWithMargins="0"/>
    </customSheetView>
    <customSheetView guid="{DE9178B7-7BAA-4669-9575-43FAD4CFD495}" showPageBreaks="1" printArea="1">
      <selection activeCell="C30" sqref="C30:D30"/>
      <pageMargins left="1.02" right="0.75" top="0.28999999999999998" bottom="0.32" header="0.27" footer="0.25"/>
      <pageSetup paperSize="9" scale="97" orientation="landscape" r:id="rId2"/>
      <headerFooter alignWithMargins="0"/>
    </customSheetView>
  </customSheetViews>
  <mergeCells count="6">
    <mergeCell ref="J2:L2"/>
    <mergeCell ref="J5:K5"/>
    <mergeCell ref="C2:D2"/>
    <mergeCell ref="A7:D7"/>
    <mergeCell ref="D23:E23"/>
    <mergeCell ref="D22:E22"/>
  </mergeCells>
  <phoneticPr fontId="32" type="noConversion"/>
  <pageMargins left="1.02" right="0.75" top="0.28999999999999998" bottom="0.32" header="0.27" footer="0.25"/>
  <pageSetup paperSize="9" scale="97" orientation="landscape" r:id="rId3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3"/>
  <sheetViews>
    <sheetView workbookViewId="0">
      <selection activeCell="K13" sqref="K13"/>
    </sheetView>
  </sheetViews>
  <sheetFormatPr defaultColWidth="9.140625" defaultRowHeight="15" x14ac:dyDescent="0.25"/>
  <cols>
    <col min="1" max="1" width="44.7109375" style="125" customWidth="1"/>
    <col min="2" max="2" width="20.85546875" style="125" customWidth="1"/>
    <col min="3" max="3" width="15.42578125" style="125" customWidth="1"/>
    <col min="4" max="4" width="12.5703125" style="125" customWidth="1"/>
    <col min="5" max="5" width="19.140625" style="125" customWidth="1"/>
    <col min="6" max="16384" width="9.140625" style="125"/>
  </cols>
  <sheetData>
    <row r="1" spans="1:5" x14ac:dyDescent="0.25">
      <c r="B1" s="174"/>
      <c r="C1" s="174"/>
      <c r="D1" s="174"/>
      <c r="E1" s="174"/>
    </row>
    <row r="2" spans="1:5" x14ac:dyDescent="0.25">
      <c r="B2" s="174"/>
      <c r="C2" s="323" t="s">
        <v>644</v>
      </c>
      <c r="D2" s="174"/>
      <c r="E2" s="174"/>
    </row>
    <row r="3" spans="1:5" ht="80.25" customHeight="1" x14ac:dyDescent="0.25">
      <c r="B3" s="174"/>
      <c r="C3" s="1667" t="s">
        <v>508</v>
      </c>
      <c r="D3" s="1709"/>
      <c r="E3" s="1709"/>
    </row>
    <row r="4" spans="1:5" x14ac:dyDescent="0.25">
      <c r="A4" s="262" t="s">
        <v>324</v>
      </c>
      <c r="B4" s="262"/>
      <c r="C4" s="127"/>
      <c r="D4" s="129"/>
      <c r="E4" s="129"/>
    </row>
    <row r="5" spans="1:5" x14ac:dyDescent="0.25">
      <c r="A5" s="263" t="s">
        <v>288</v>
      </c>
      <c r="B5" s="263"/>
      <c r="C5" s="127"/>
      <c r="D5" s="129"/>
      <c r="E5" s="129"/>
    </row>
    <row r="6" spans="1:5" x14ac:dyDescent="0.25">
      <c r="A6" s="263" t="s">
        <v>289</v>
      </c>
      <c r="B6" s="263"/>
      <c r="C6" s="324"/>
      <c r="D6" s="324"/>
      <c r="E6" s="324"/>
    </row>
    <row r="7" spans="1:5" x14ac:dyDescent="0.25">
      <c r="B7" s="174"/>
      <c r="C7" s="174"/>
      <c r="D7" s="174"/>
      <c r="E7" s="174"/>
    </row>
    <row r="8" spans="1:5" ht="48" customHeight="1" thickBot="1" x14ac:dyDescent="0.35">
      <c r="A8" s="1788" t="s">
        <v>720</v>
      </c>
      <c r="B8" s="1789"/>
      <c r="C8" s="1789"/>
      <c r="D8" s="1789"/>
      <c r="E8" s="1789"/>
    </row>
    <row r="9" spans="1:5" x14ac:dyDescent="0.25">
      <c r="A9" s="1790" t="s">
        <v>645</v>
      </c>
      <c r="B9" s="1792" t="s">
        <v>668</v>
      </c>
      <c r="C9" s="1794" t="s">
        <v>646</v>
      </c>
      <c r="D9" s="1792" t="s">
        <v>647</v>
      </c>
      <c r="E9" s="1796" t="s">
        <v>648</v>
      </c>
    </row>
    <row r="10" spans="1:5" ht="44.25" customHeight="1" thickBot="1" x14ac:dyDescent="0.3">
      <c r="A10" s="1791"/>
      <c r="B10" s="1793"/>
      <c r="C10" s="1795"/>
      <c r="D10" s="1793"/>
      <c r="E10" s="1797"/>
    </row>
    <row r="11" spans="1:5" x14ac:dyDescent="0.25">
      <c r="A11" s="391" t="s">
        <v>649</v>
      </c>
      <c r="B11" s="392"/>
      <c r="C11" s="392"/>
      <c r="D11" s="392"/>
      <c r="E11" s="393"/>
    </row>
    <row r="12" spans="1:5" x14ac:dyDescent="0.25">
      <c r="A12" s="378" t="s">
        <v>650</v>
      </c>
      <c r="B12" s="379"/>
      <c r="C12" s="379"/>
      <c r="D12" s="379"/>
      <c r="E12" s="380"/>
    </row>
    <row r="13" spans="1:5" x14ac:dyDescent="0.25">
      <c r="A13" s="378" t="s">
        <v>651</v>
      </c>
      <c r="B13" s="379"/>
      <c r="C13" s="379"/>
      <c r="D13" s="379"/>
      <c r="E13" s="380"/>
    </row>
    <row r="14" spans="1:5" x14ac:dyDescent="0.25">
      <c r="A14" s="329"/>
      <c r="B14" s="330"/>
      <c r="C14" s="331"/>
      <c r="D14" s="332"/>
      <c r="E14" s="333"/>
    </row>
    <row r="15" spans="1:5" x14ac:dyDescent="0.25">
      <c r="A15" s="329"/>
      <c r="B15" s="330"/>
      <c r="C15" s="331"/>
      <c r="D15" s="332"/>
      <c r="E15" s="333"/>
    </row>
    <row r="16" spans="1:5" x14ac:dyDescent="0.25">
      <c r="A16" s="378" t="s">
        <v>652</v>
      </c>
      <c r="B16" s="379"/>
      <c r="C16" s="379"/>
      <c r="D16" s="379"/>
      <c r="E16" s="380"/>
    </row>
    <row r="17" spans="1:5" x14ac:dyDescent="0.25">
      <c r="A17" s="334"/>
      <c r="B17" s="335"/>
      <c r="C17" s="335"/>
      <c r="D17" s="336"/>
      <c r="E17" s="337"/>
    </row>
    <row r="18" spans="1:5" x14ac:dyDescent="0.25">
      <c r="A18" s="334"/>
      <c r="B18" s="335"/>
      <c r="C18" s="335"/>
      <c r="D18" s="336"/>
      <c r="E18" s="337"/>
    </row>
    <row r="19" spans="1:5" x14ac:dyDescent="0.25">
      <c r="A19" s="378" t="s">
        <v>653</v>
      </c>
      <c r="B19" s="379"/>
      <c r="C19" s="379"/>
      <c r="D19" s="379"/>
      <c r="E19" s="380"/>
    </row>
    <row r="20" spans="1:5" x14ac:dyDescent="0.25">
      <c r="A20" s="338"/>
      <c r="B20" s="335"/>
      <c r="C20" s="335"/>
      <c r="D20" s="336"/>
      <c r="E20" s="337"/>
    </row>
    <row r="21" spans="1:5" x14ac:dyDescent="0.25">
      <c r="A21" s="338"/>
      <c r="B21" s="335"/>
      <c r="C21" s="335"/>
      <c r="D21" s="336"/>
      <c r="E21" s="337"/>
    </row>
    <row r="22" spans="1:5" x14ac:dyDescent="0.25">
      <c r="A22" s="378" t="s">
        <v>654</v>
      </c>
      <c r="B22" s="379"/>
      <c r="C22" s="379"/>
      <c r="D22" s="379"/>
      <c r="E22" s="380"/>
    </row>
    <row r="23" spans="1:5" x14ac:dyDescent="0.25">
      <c r="A23" s="378" t="s">
        <v>655</v>
      </c>
      <c r="B23" s="379"/>
      <c r="C23" s="379"/>
      <c r="D23" s="379"/>
      <c r="E23" s="380"/>
    </row>
    <row r="24" spans="1:5" x14ac:dyDescent="0.25">
      <c r="A24" s="334"/>
      <c r="B24" s="330"/>
      <c r="C24" s="331"/>
      <c r="D24" s="332"/>
      <c r="E24" s="333"/>
    </row>
    <row r="25" spans="1:5" x14ac:dyDescent="0.25">
      <c r="A25" s="334"/>
      <c r="B25" s="330"/>
      <c r="C25" s="331"/>
      <c r="D25" s="332"/>
      <c r="E25" s="333"/>
    </row>
    <row r="26" spans="1:5" x14ac:dyDescent="0.25">
      <c r="A26" s="378" t="s">
        <v>656</v>
      </c>
      <c r="B26" s="379"/>
      <c r="C26" s="379"/>
      <c r="D26" s="379"/>
      <c r="E26" s="380"/>
    </row>
    <row r="27" spans="1:5" x14ac:dyDescent="0.25">
      <c r="A27" s="339"/>
      <c r="B27" s="340"/>
      <c r="C27" s="340"/>
      <c r="D27" s="340"/>
      <c r="E27" s="341"/>
    </row>
    <row r="28" spans="1:5" x14ac:dyDescent="0.25">
      <c r="A28" s="339"/>
      <c r="B28" s="340"/>
      <c r="C28" s="340"/>
      <c r="D28" s="340"/>
      <c r="E28" s="341"/>
    </row>
    <row r="29" spans="1:5" x14ac:dyDescent="0.25">
      <c r="A29" s="378" t="s">
        <v>657</v>
      </c>
      <c r="B29" s="379"/>
      <c r="C29" s="379"/>
      <c r="D29" s="379"/>
      <c r="E29" s="380"/>
    </row>
    <row r="30" spans="1:5" x14ac:dyDescent="0.25">
      <c r="A30" s="339"/>
      <c r="B30" s="340"/>
      <c r="C30" s="340"/>
      <c r="D30" s="340"/>
      <c r="E30" s="341"/>
    </row>
    <row r="31" spans="1:5" x14ac:dyDescent="0.25">
      <c r="A31" s="339"/>
      <c r="B31" s="340"/>
      <c r="C31" s="340"/>
      <c r="D31" s="340"/>
      <c r="E31" s="341"/>
    </row>
    <row r="32" spans="1:5" x14ac:dyDescent="0.25">
      <c r="A32" s="378" t="s">
        <v>658</v>
      </c>
      <c r="B32" s="379"/>
      <c r="C32" s="379"/>
      <c r="D32" s="379"/>
      <c r="E32" s="380"/>
    </row>
    <row r="33" spans="1:5" x14ac:dyDescent="0.25">
      <c r="A33" s="378" t="s">
        <v>659</v>
      </c>
      <c r="B33" s="379"/>
      <c r="C33" s="379"/>
      <c r="D33" s="379"/>
      <c r="E33" s="380"/>
    </row>
    <row r="34" spans="1:5" x14ac:dyDescent="0.25">
      <c r="A34" s="378" t="s">
        <v>660</v>
      </c>
      <c r="B34" s="379"/>
      <c r="C34" s="379"/>
      <c r="D34" s="379"/>
      <c r="E34" s="380"/>
    </row>
    <row r="35" spans="1:5" x14ac:dyDescent="0.25">
      <c r="A35" s="342"/>
      <c r="B35" s="343"/>
      <c r="C35" s="335"/>
      <c r="D35" s="332"/>
      <c r="E35" s="337"/>
    </row>
    <row r="36" spans="1:5" x14ac:dyDescent="0.25">
      <c r="A36" s="342"/>
      <c r="B36" s="343"/>
      <c r="C36" s="335"/>
      <c r="D36" s="332"/>
      <c r="E36" s="344"/>
    </row>
    <row r="37" spans="1:5" x14ac:dyDescent="0.25">
      <c r="A37" s="378" t="s">
        <v>661</v>
      </c>
      <c r="B37" s="379"/>
      <c r="C37" s="379"/>
      <c r="D37" s="379"/>
      <c r="E37" s="380"/>
    </row>
    <row r="38" spans="1:5" x14ac:dyDescent="0.25">
      <c r="A38" s="339"/>
      <c r="B38" s="340"/>
      <c r="C38" s="340"/>
      <c r="D38" s="340"/>
      <c r="E38" s="341"/>
    </row>
    <row r="39" spans="1:5" x14ac:dyDescent="0.25">
      <c r="A39" s="339"/>
      <c r="B39" s="340"/>
      <c r="C39" s="340"/>
      <c r="D39" s="340"/>
      <c r="E39" s="341"/>
    </row>
    <row r="40" spans="1:5" x14ac:dyDescent="0.25">
      <c r="A40" s="378" t="s">
        <v>662</v>
      </c>
      <c r="B40" s="379"/>
      <c r="C40" s="379"/>
      <c r="D40" s="379"/>
      <c r="E40" s="380"/>
    </row>
    <row r="41" spans="1:5" x14ac:dyDescent="0.25">
      <c r="A41" s="339"/>
      <c r="B41" s="340"/>
      <c r="C41" s="335"/>
      <c r="D41" s="340"/>
      <c r="E41" s="341"/>
    </row>
    <row r="42" spans="1:5" x14ac:dyDescent="0.25">
      <c r="A42" s="339"/>
      <c r="B42" s="340"/>
      <c r="C42" s="340"/>
      <c r="D42" s="340"/>
      <c r="E42" s="341"/>
    </row>
    <row r="43" spans="1:5" x14ac:dyDescent="0.25">
      <c r="A43" s="378" t="s">
        <v>663</v>
      </c>
      <c r="B43" s="379"/>
      <c r="C43" s="379"/>
      <c r="D43" s="379"/>
      <c r="E43" s="380"/>
    </row>
    <row r="44" spans="1:5" x14ac:dyDescent="0.25">
      <c r="A44" s="378" t="s">
        <v>664</v>
      </c>
      <c r="B44" s="379"/>
      <c r="C44" s="379"/>
      <c r="D44" s="379"/>
      <c r="E44" s="380"/>
    </row>
    <row r="45" spans="1:5" x14ac:dyDescent="0.25">
      <c r="A45" s="339"/>
      <c r="B45" s="340"/>
      <c r="C45" s="340"/>
      <c r="D45" s="340"/>
      <c r="E45" s="341"/>
    </row>
    <row r="46" spans="1:5" x14ac:dyDescent="0.25">
      <c r="A46" s="339"/>
      <c r="B46" s="340"/>
      <c r="C46" s="340"/>
      <c r="D46" s="340"/>
      <c r="E46" s="341"/>
    </row>
    <row r="47" spans="1:5" x14ac:dyDescent="0.25">
      <c r="A47" s="378" t="s">
        <v>665</v>
      </c>
      <c r="B47" s="379"/>
      <c r="C47" s="379"/>
      <c r="D47" s="379"/>
      <c r="E47" s="380"/>
    </row>
    <row r="48" spans="1:5" x14ac:dyDescent="0.25">
      <c r="A48" s="339"/>
      <c r="B48" s="340"/>
      <c r="C48" s="340"/>
      <c r="D48" s="340"/>
      <c r="E48" s="341"/>
    </row>
    <row r="49" spans="1:5" x14ac:dyDescent="0.25">
      <c r="A49" s="339"/>
      <c r="B49" s="340"/>
      <c r="C49" s="340"/>
      <c r="D49" s="340"/>
      <c r="E49" s="341"/>
    </row>
    <row r="50" spans="1:5" x14ac:dyDescent="0.25">
      <c r="A50" s="378" t="s">
        <v>666</v>
      </c>
      <c r="B50" s="379"/>
      <c r="C50" s="379"/>
      <c r="D50" s="379"/>
      <c r="E50" s="380"/>
    </row>
    <row r="51" spans="1:5" x14ac:dyDescent="0.25">
      <c r="A51" s="339"/>
      <c r="B51" s="340"/>
      <c r="C51" s="340"/>
      <c r="D51" s="340"/>
      <c r="E51" s="341"/>
    </row>
    <row r="52" spans="1:5" ht="15.75" thickBot="1" x14ac:dyDescent="0.3">
      <c r="A52" s="345"/>
      <c r="B52" s="346"/>
      <c r="C52" s="346"/>
      <c r="D52" s="346"/>
      <c r="E52" s="347"/>
    </row>
    <row r="53" spans="1:5" ht="15.75" thickBot="1" x14ac:dyDescent="0.3">
      <c r="A53" s="325" t="s">
        <v>667</v>
      </c>
      <c r="B53" s="326">
        <f>B14+B15+B17+B18+B20+B21+B24+B25+B27+B28+B30+B31+B35+B36+B38+B39+B41+B42+B45+B46+B48+B49+B51+B52</f>
        <v>0</v>
      </c>
      <c r="C53" s="327"/>
      <c r="D53" s="327"/>
      <c r="E53" s="328"/>
    </row>
  </sheetData>
  <mergeCells count="7">
    <mergeCell ref="A8:E8"/>
    <mergeCell ref="C3:E3"/>
    <mergeCell ref="A9:A10"/>
    <mergeCell ref="B9:B10"/>
    <mergeCell ref="C9:C10"/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"/>
  <sheetViews>
    <sheetView topLeftCell="A7" workbookViewId="0">
      <selection activeCell="B22" sqref="B22"/>
    </sheetView>
  </sheetViews>
  <sheetFormatPr defaultColWidth="9.140625" defaultRowHeight="15" x14ac:dyDescent="0.25"/>
  <cols>
    <col min="1" max="1" width="49.42578125" style="349" customWidth="1"/>
    <col min="2" max="2" width="19.42578125" style="349" customWidth="1"/>
    <col min="3" max="3" width="19.7109375" style="349" customWidth="1"/>
    <col min="4" max="16384" width="9.140625" style="349"/>
  </cols>
  <sheetData>
    <row r="1" spans="1:13" x14ac:dyDescent="0.25">
      <c r="C1" s="1798" t="s">
        <v>669</v>
      </c>
      <c r="D1" s="1798"/>
      <c r="E1" s="1798"/>
    </row>
    <row r="2" spans="1:13" ht="93" customHeight="1" x14ac:dyDescent="0.25">
      <c r="C2" s="1799" t="s">
        <v>508</v>
      </c>
      <c r="D2" s="1800"/>
      <c r="E2" s="1800"/>
    </row>
    <row r="3" spans="1:13" x14ac:dyDescent="0.25">
      <c r="A3" s="381" t="s">
        <v>295</v>
      </c>
    </row>
    <row r="4" spans="1:13" x14ac:dyDescent="0.25">
      <c r="A4" s="350" t="s">
        <v>303</v>
      </c>
    </row>
    <row r="5" spans="1:13" x14ac:dyDescent="0.25">
      <c r="A5" s="382" t="s">
        <v>289</v>
      </c>
    </row>
    <row r="7" spans="1:13" ht="89.25" customHeight="1" x14ac:dyDescent="0.25">
      <c r="A7" s="1801" t="s">
        <v>721</v>
      </c>
      <c r="B7" s="1801"/>
      <c r="C7" s="1801"/>
      <c r="D7" s="351"/>
    </row>
    <row r="8" spans="1:13" ht="15.75" thickBot="1" x14ac:dyDescent="0.3">
      <c r="A8" s="348"/>
      <c r="B8" s="348"/>
      <c r="C8" s="352"/>
      <c r="D8" s="352"/>
    </row>
    <row r="9" spans="1:13" ht="30.75" customHeight="1" thickBot="1" x14ac:dyDescent="0.3">
      <c r="A9" s="383" t="s">
        <v>574</v>
      </c>
      <c r="B9" s="394" t="s">
        <v>389</v>
      </c>
      <c r="C9" s="353" t="s">
        <v>390</v>
      </c>
      <c r="D9" s="352"/>
      <c r="K9" s="1798"/>
      <c r="L9" s="1798"/>
      <c r="M9" s="1798"/>
    </row>
    <row r="10" spans="1:13" ht="13.5" customHeight="1" x14ac:dyDescent="0.25">
      <c r="A10" s="384" t="s">
        <v>526</v>
      </c>
      <c r="B10" s="354"/>
      <c r="C10" s="354"/>
      <c r="D10" s="352"/>
      <c r="K10" s="1799"/>
      <c r="L10" s="1800"/>
      <c r="M10" s="1800"/>
    </row>
    <row r="11" spans="1:13" ht="13.5" customHeight="1" x14ac:dyDescent="0.25">
      <c r="A11" s="385" t="s">
        <v>527</v>
      </c>
      <c r="B11" s="355"/>
      <c r="C11" s="355"/>
      <c r="D11" s="352"/>
    </row>
    <row r="12" spans="1:13" ht="14.25" customHeight="1" thickBot="1" x14ac:dyDescent="0.3">
      <c r="A12" s="386" t="s">
        <v>528</v>
      </c>
      <c r="B12" s="356"/>
      <c r="C12" s="356"/>
      <c r="D12" s="352"/>
    </row>
    <row r="13" spans="1:13" ht="15.75" thickBot="1" x14ac:dyDescent="0.3">
      <c r="A13" s="383" t="s">
        <v>21</v>
      </c>
      <c r="B13" s="395">
        <f>SUM(B10:B12)</f>
        <v>0</v>
      </c>
      <c r="C13" s="357">
        <f>SUM(C10:C12)</f>
        <v>0</v>
      </c>
      <c r="D13" s="352"/>
    </row>
  </sheetData>
  <mergeCells count="5">
    <mergeCell ref="C1:E1"/>
    <mergeCell ref="C2:E2"/>
    <mergeCell ref="K9:M9"/>
    <mergeCell ref="K10:M10"/>
    <mergeCell ref="A7:C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V65"/>
  <sheetViews>
    <sheetView tabSelected="1" topLeftCell="A10" zoomScale="80" zoomScaleNormal="80" workbookViewId="0">
      <selection activeCell="Q26" sqref="Q26"/>
    </sheetView>
  </sheetViews>
  <sheetFormatPr defaultRowHeight="12.75" x14ac:dyDescent="0.2"/>
  <cols>
    <col min="1" max="1" width="1.85546875" style="579" customWidth="1"/>
    <col min="2" max="2" width="12.42578125" style="579" bestFit="1" customWidth="1"/>
    <col min="3" max="3" width="9.140625" style="579"/>
    <col min="4" max="4" width="21.7109375" style="579" customWidth="1"/>
    <col min="5" max="6" width="13.85546875" style="579" bestFit="1" customWidth="1"/>
    <col min="7" max="7" width="5.42578125" style="579" customWidth="1"/>
    <col min="8" max="8" width="0" style="579" hidden="1" customWidth="1"/>
    <col min="9" max="9" width="16.28515625" style="579" customWidth="1"/>
    <col min="10" max="10" width="9.140625" style="579" hidden="1" customWidth="1"/>
    <col min="11" max="11" width="21.42578125" style="579" bestFit="1" customWidth="1"/>
    <col min="12" max="12" width="0" style="579" hidden="1" customWidth="1"/>
    <col min="13" max="13" width="20" style="579" customWidth="1"/>
    <col min="14" max="14" width="18.42578125" style="720" bestFit="1" customWidth="1"/>
    <col min="15" max="15" width="18" style="579" customWidth="1"/>
    <col min="16" max="16" width="9.7109375" style="579" bestFit="1" customWidth="1"/>
    <col min="17" max="17" width="11.7109375" style="625" bestFit="1" customWidth="1"/>
    <col min="18" max="18" width="9.140625" style="579"/>
    <col min="19" max="20" width="16.7109375" style="1099" bestFit="1" customWidth="1"/>
    <col min="21" max="21" width="9.140625" style="579"/>
    <col min="22" max="22" width="16.42578125" style="579" bestFit="1" customWidth="1"/>
    <col min="23" max="256" width="9.140625" style="579"/>
    <col min="257" max="257" width="1.85546875" style="579" customWidth="1"/>
    <col min="258" max="258" width="12.42578125" style="579" bestFit="1" customWidth="1"/>
    <col min="259" max="259" width="9.140625" style="579"/>
    <col min="260" max="260" width="21.7109375" style="579" customWidth="1"/>
    <col min="261" max="262" width="13.85546875" style="579" bestFit="1" customWidth="1"/>
    <col min="263" max="263" width="5.42578125" style="579" customWidth="1"/>
    <col min="264" max="264" width="0" style="579" hidden="1" customWidth="1"/>
    <col min="265" max="265" width="24.140625" style="579" customWidth="1"/>
    <col min="266" max="266" width="0" style="579" hidden="1" customWidth="1"/>
    <col min="267" max="267" width="27.5703125" style="579" customWidth="1"/>
    <col min="268" max="268" width="0" style="579" hidden="1" customWidth="1"/>
    <col min="269" max="269" width="20" style="579" customWidth="1"/>
    <col min="270" max="270" width="13.7109375" style="579" bestFit="1" customWidth="1"/>
    <col min="271" max="271" width="18" style="579" customWidth="1"/>
    <col min="272" max="272" width="9.140625" style="579"/>
    <col min="273" max="273" width="11.7109375" style="579" bestFit="1" customWidth="1"/>
    <col min="274" max="512" width="9.140625" style="579"/>
    <col min="513" max="513" width="1.85546875" style="579" customWidth="1"/>
    <col min="514" max="514" width="12.42578125" style="579" bestFit="1" customWidth="1"/>
    <col min="515" max="515" width="9.140625" style="579"/>
    <col min="516" max="516" width="21.7109375" style="579" customWidth="1"/>
    <col min="517" max="518" width="13.85546875" style="579" bestFit="1" customWidth="1"/>
    <col min="519" max="519" width="5.42578125" style="579" customWidth="1"/>
    <col min="520" max="520" width="0" style="579" hidden="1" customWidth="1"/>
    <col min="521" max="521" width="24.140625" style="579" customWidth="1"/>
    <col min="522" max="522" width="0" style="579" hidden="1" customWidth="1"/>
    <col min="523" max="523" width="27.5703125" style="579" customWidth="1"/>
    <col min="524" max="524" width="0" style="579" hidden="1" customWidth="1"/>
    <col min="525" max="525" width="20" style="579" customWidth="1"/>
    <col min="526" max="526" width="13.7109375" style="579" bestFit="1" customWidth="1"/>
    <col min="527" max="527" width="18" style="579" customWidth="1"/>
    <col min="528" max="528" width="9.140625" style="579"/>
    <col min="529" max="529" width="11.7109375" style="579" bestFit="1" customWidth="1"/>
    <col min="530" max="768" width="9.140625" style="579"/>
    <col min="769" max="769" width="1.85546875" style="579" customWidth="1"/>
    <col min="770" max="770" width="12.42578125" style="579" bestFit="1" customWidth="1"/>
    <col min="771" max="771" width="9.140625" style="579"/>
    <col min="772" max="772" width="21.7109375" style="579" customWidth="1"/>
    <col min="773" max="774" width="13.85546875" style="579" bestFit="1" customWidth="1"/>
    <col min="775" max="775" width="5.42578125" style="579" customWidth="1"/>
    <col min="776" max="776" width="0" style="579" hidden="1" customWidth="1"/>
    <col min="777" max="777" width="24.140625" style="579" customWidth="1"/>
    <col min="778" max="778" width="0" style="579" hidden="1" customWidth="1"/>
    <col min="779" max="779" width="27.5703125" style="579" customWidth="1"/>
    <col min="780" max="780" width="0" style="579" hidden="1" customWidth="1"/>
    <col min="781" max="781" width="20" style="579" customWidth="1"/>
    <col min="782" max="782" width="13.7109375" style="579" bestFit="1" customWidth="1"/>
    <col min="783" max="783" width="18" style="579" customWidth="1"/>
    <col min="784" max="784" width="9.140625" style="579"/>
    <col min="785" max="785" width="11.7109375" style="579" bestFit="1" customWidth="1"/>
    <col min="786" max="1024" width="9.140625" style="579"/>
    <col min="1025" max="1025" width="1.85546875" style="579" customWidth="1"/>
    <col min="1026" max="1026" width="12.42578125" style="579" bestFit="1" customWidth="1"/>
    <col min="1027" max="1027" width="9.140625" style="579"/>
    <col min="1028" max="1028" width="21.7109375" style="579" customWidth="1"/>
    <col min="1029" max="1030" width="13.85546875" style="579" bestFit="1" customWidth="1"/>
    <col min="1031" max="1031" width="5.42578125" style="579" customWidth="1"/>
    <col min="1032" max="1032" width="0" style="579" hidden="1" customWidth="1"/>
    <col min="1033" max="1033" width="24.140625" style="579" customWidth="1"/>
    <col min="1034" max="1034" width="0" style="579" hidden="1" customWidth="1"/>
    <col min="1035" max="1035" width="27.5703125" style="579" customWidth="1"/>
    <col min="1036" max="1036" width="0" style="579" hidden="1" customWidth="1"/>
    <col min="1037" max="1037" width="20" style="579" customWidth="1"/>
    <col min="1038" max="1038" width="13.7109375" style="579" bestFit="1" customWidth="1"/>
    <col min="1039" max="1039" width="18" style="579" customWidth="1"/>
    <col min="1040" max="1040" width="9.140625" style="579"/>
    <col min="1041" max="1041" width="11.7109375" style="579" bestFit="1" customWidth="1"/>
    <col min="1042" max="1280" width="9.140625" style="579"/>
    <col min="1281" max="1281" width="1.85546875" style="579" customWidth="1"/>
    <col min="1282" max="1282" width="12.42578125" style="579" bestFit="1" customWidth="1"/>
    <col min="1283" max="1283" width="9.140625" style="579"/>
    <col min="1284" max="1284" width="21.7109375" style="579" customWidth="1"/>
    <col min="1285" max="1286" width="13.85546875" style="579" bestFit="1" customWidth="1"/>
    <col min="1287" max="1287" width="5.42578125" style="579" customWidth="1"/>
    <col min="1288" max="1288" width="0" style="579" hidden="1" customWidth="1"/>
    <col min="1289" max="1289" width="24.140625" style="579" customWidth="1"/>
    <col min="1290" max="1290" width="0" style="579" hidden="1" customWidth="1"/>
    <col min="1291" max="1291" width="27.5703125" style="579" customWidth="1"/>
    <col min="1292" max="1292" width="0" style="579" hidden="1" customWidth="1"/>
    <col min="1293" max="1293" width="20" style="579" customWidth="1"/>
    <col min="1294" max="1294" width="13.7109375" style="579" bestFit="1" customWidth="1"/>
    <col min="1295" max="1295" width="18" style="579" customWidth="1"/>
    <col min="1296" max="1296" width="9.140625" style="579"/>
    <col min="1297" max="1297" width="11.7109375" style="579" bestFit="1" customWidth="1"/>
    <col min="1298" max="1536" width="9.140625" style="579"/>
    <col min="1537" max="1537" width="1.85546875" style="579" customWidth="1"/>
    <col min="1538" max="1538" width="12.42578125" style="579" bestFit="1" customWidth="1"/>
    <col min="1539" max="1539" width="9.140625" style="579"/>
    <col min="1540" max="1540" width="21.7109375" style="579" customWidth="1"/>
    <col min="1541" max="1542" width="13.85546875" style="579" bestFit="1" customWidth="1"/>
    <col min="1543" max="1543" width="5.42578125" style="579" customWidth="1"/>
    <col min="1544" max="1544" width="0" style="579" hidden="1" customWidth="1"/>
    <col min="1545" max="1545" width="24.140625" style="579" customWidth="1"/>
    <col min="1546" max="1546" width="0" style="579" hidden="1" customWidth="1"/>
    <col min="1547" max="1547" width="27.5703125" style="579" customWidth="1"/>
    <col min="1548" max="1548" width="0" style="579" hidden="1" customWidth="1"/>
    <col min="1549" max="1549" width="20" style="579" customWidth="1"/>
    <col min="1550" max="1550" width="13.7109375" style="579" bestFit="1" customWidth="1"/>
    <col min="1551" max="1551" width="18" style="579" customWidth="1"/>
    <col min="1552" max="1552" width="9.140625" style="579"/>
    <col min="1553" max="1553" width="11.7109375" style="579" bestFit="1" customWidth="1"/>
    <col min="1554" max="1792" width="9.140625" style="579"/>
    <col min="1793" max="1793" width="1.85546875" style="579" customWidth="1"/>
    <col min="1794" max="1794" width="12.42578125" style="579" bestFit="1" customWidth="1"/>
    <col min="1795" max="1795" width="9.140625" style="579"/>
    <col min="1796" max="1796" width="21.7109375" style="579" customWidth="1"/>
    <col min="1797" max="1798" width="13.85546875" style="579" bestFit="1" customWidth="1"/>
    <col min="1799" max="1799" width="5.42578125" style="579" customWidth="1"/>
    <col min="1800" max="1800" width="0" style="579" hidden="1" customWidth="1"/>
    <col min="1801" max="1801" width="24.140625" style="579" customWidth="1"/>
    <col min="1802" max="1802" width="0" style="579" hidden="1" customWidth="1"/>
    <col min="1803" max="1803" width="27.5703125" style="579" customWidth="1"/>
    <col min="1804" max="1804" width="0" style="579" hidden="1" customWidth="1"/>
    <col min="1805" max="1805" width="20" style="579" customWidth="1"/>
    <col min="1806" max="1806" width="13.7109375" style="579" bestFit="1" customWidth="1"/>
    <col min="1807" max="1807" width="18" style="579" customWidth="1"/>
    <col min="1808" max="1808" width="9.140625" style="579"/>
    <col min="1809" max="1809" width="11.7109375" style="579" bestFit="1" customWidth="1"/>
    <col min="1810" max="2048" width="9.140625" style="579"/>
    <col min="2049" max="2049" width="1.85546875" style="579" customWidth="1"/>
    <col min="2050" max="2050" width="12.42578125" style="579" bestFit="1" customWidth="1"/>
    <col min="2051" max="2051" width="9.140625" style="579"/>
    <col min="2052" max="2052" width="21.7109375" style="579" customWidth="1"/>
    <col min="2053" max="2054" width="13.85546875" style="579" bestFit="1" customWidth="1"/>
    <col min="2055" max="2055" width="5.42578125" style="579" customWidth="1"/>
    <col min="2056" max="2056" width="0" style="579" hidden="1" customWidth="1"/>
    <col min="2057" max="2057" width="24.140625" style="579" customWidth="1"/>
    <col min="2058" max="2058" width="0" style="579" hidden="1" customWidth="1"/>
    <col min="2059" max="2059" width="27.5703125" style="579" customWidth="1"/>
    <col min="2060" max="2060" width="0" style="579" hidden="1" customWidth="1"/>
    <col min="2061" max="2061" width="20" style="579" customWidth="1"/>
    <col min="2062" max="2062" width="13.7109375" style="579" bestFit="1" customWidth="1"/>
    <col min="2063" max="2063" width="18" style="579" customWidth="1"/>
    <col min="2064" max="2064" width="9.140625" style="579"/>
    <col min="2065" max="2065" width="11.7109375" style="579" bestFit="1" customWidth="1"/>
    <col min="2066" max="2304" width="9.140625" style="579"/>
    <col min="2305" max="2305" width="1.85546875" style="579" customWidth="1"/>
    <col min="2306" max="2306" width="12.42578125" style="579" bestFit="1" customWidth="1"/>
    <col min="2307" max="2307" width="9.140625" style="579"/>
    <col min="2308" max="2308" width="21.7109375" style="579" customWidth="1"/>
    <col min="2309" max="2310" width="13.85546875" style="579" bestFit="1" customWidth="1"/>
    <col min="2311" max="2311" width="5.42578125" style="579" customWidth="1"/>
    <col min="2312" max="2312" width="0" style="579" hidden="1" customWidth="1"/>
    <col min="2313" max="2313" width="24.140625" style="579" customWidth="1"/>
    <col min="2314" max="2314" width="0" style="579" hidden="1" customWidth="1"/>
    <col min="2315" max="2315" width="27.5703125" style="579" customWidth="1"/>
    <col min="2316" max="2316" width="0" style="579" hidden="1" customWidth="1"/>
    <col min="2317" max="2317" width="20" style="579" customWidth="1"/>
    <col min="2318" max="2318" width="13.7109375" style="579" bestFit="1" customWidth="1"/>
    <col min="2319" max="2319" width="18" style="579" customWidth="1"/>
    <col min="2320" max="2320" width="9.140625" style="579"/>
    <col min="2321" max="2321" width="11.7109375" style="579" bestFit="1" customWidth="1"/>
    <col min="2322" max="2560" width="9.140625" style="579"/>
    <col min="2561" max="2561" width="1.85546875" style="579" customWidth="1"/>
    <col min="2562" max="2562" width="12.42578125" style="579" bestFit="1" customWidth="1"/>
    <col min="2563" max="2563" width="9.140625" style="579"/>
    <col min="2564" max="2564" width="21.7109375" style="579" customWidth="1"/>
    <col min="2565" max="2566" width="13.85546875" style="579" bestFit="1" customWidth="1"/>
    <col min="2567" max="2567" width="5.42578125" style="579" customWidth="1"/>
    <col min="2568" max="2568" width="0" style="579" hidden="1" customWidth="1"/>
    <col min="2569" max="2569" width="24.140625" style="579" customWidth="1"/>
    <col min="2570" max="2570" width="0" style="579" hidden="1" customWidth="1"/>
    <col min="2571" max="2571" width="27.5703125" style="579" customWidth="1"/>
    <col min="2572" max="2572" width="0" style="579" hidden="1" customWidth="1"/>
    <col min="2573" max="2573" width="20" style="579" customWidth="1"/>
    <col min="2574" max="2574" width="13.7109375" style="579" bestFit="1" customWidth="1"/>
    <col min="2575" max="2575" width="18" style="579" customWidth="1"/>
    <col min="2576" max="2576" width="9.140625" style="579"/>
    <col min="2577" max="2577" width="11.7109375" style="579" bestFit="1" customWidth="1"/>
    <col min="2578" max="2816" width="9.140625" style="579"/>
    <col min="2817" max="2817" width="1.85546875" style="579" customWidth="1"/>
    <col min="2818" max="2818" width="12.42578125" style="579" bestFit="1" customWidth="1"/>
    <col min="2819" max="2819" width="9.140625" style="579"/>
    <col min="2820" max="2820" width="21.7109375" style="579" customWidth="1"/>
    <col min="2821" max="2822" width="13.85546875" style="579" bestFit="1" customWidth="1"/>
    <col min="2823" max="2823" width="5.42578125" style="579" customWidth="1"/>
    <col min="2824" max="2824" width="0" style="579" hidden="1" customWidth="1"/>
    <col min="2825" max="2825" width="24.140625" style="579" customWidth="1"/>
    <col min="2826" max="2826" width="0" style="579" hidden="1" customWidth="1"/>
    <col min="2827" max="2827" width="27.5703125" style="579" customWidth="1"/>
    <col min="2828" max="2828" width="0" style="579" hidden="1" customWidth="1"/>
    <col min="2829" max="2829" width="20" style="579" customWidth="1"/>
    <col min="2830" max="2830" width="13.7109375" style="579" bestFit="1" customWidth="1"/>
    <col min="2831" max="2831" width="18" style="579" customWidth="1"/>
    <col min="2832" max="2832" width="9.140625" style="579"/>
    <col min="2833" max="2833" width="11.7109375" style="579" bestFit="1" customWidth="1"/>
    <col min="2834" max="3072" width="9.140625" style="579"/>
    <col min="3073" max="3073" width="1.85546875" style="579" customWidth="1"/>
    <col min="3074" max="3074" width="12.42578125" style="579" bestFit="1" customWidth="1"/>
    <col min="3075" max="3075" width="9.140625" style="579"/>
    <col min="3076" max="3076" width="21.7109375" style="579" customWidth="1"/>
    <col min="3077" max="3078" width="13.85546875" style="579" bestFit="1" customWidth="1"/>
    <col min="3079" max="3079" width="5.42578125" style="579" customWidth="1"/>
    <col min="3080" max="3080" width="0" style="579" hidden="1" customWidth="1"/>
    <col min="3081" max="3081" width="24.140625" style="579" customWidth="1"/>
    <col min="3082" max="3082" width="0" style="579" hidden="1" customWidth="1"/>
    <col min="3083" max="3083" width="27.5703125" style="579" customWidth="1"/>
    <col min="3084" max="3084" width="0" style="579" hidden="1" customWidth="1"/>
    <col min="3085" max="3085" width="20" style="579" customWidth="1"/>
    <col min="3086" max="3086" width="13.7109375" style="579" bestFit="1" customWidth="1"/>
    <col min="3087" max="3087" width="18" style="579" customWidth="1"/>
    <col min="3088" max="3088" width="9.140625" style="579"/>
    <col min="3089" max="3089" width="11.7109375" style="579" bestFit="1" customWidth="1"/>
    <col min="3090" max="3328" width="9.140625" style="579"/>
    <col min="3329" max="3329" width="1.85546875" style="579" customWidth="1"/>
    <col min="3330" max="3330" width="12.42578125" style="579" bestFit="1" customWidth="1"/>
    <col min="3331" max="3331" width="9.140625" style="579"/>
    <col min="3332" max="3332" width="21.7109375" style="579" customWidth="1"/>
    <col min="3333" max="3334" width="13.85546875" style="579" bestFit="1" customWidth="1"/>
    <col min="3335" max="3335" width="5.42578125" style="579" customWidth="1"/>
    <col min="3336" max="3336" width="0" style="579" hidden="1" customWidth="1"/>
    <col min="3337" max="3337" width="24.140625" style="579" customWidth="1"/>
    <col min="3338" max="3338" width="0" style="579" hidden="1" customWidth="1"/>
    <col min="3339" max="3339" width="27.5703125" style="579" customWidth="1"/>
    <col min="3340" max="3340" width="0" style="579" hidden="1" customWidth="1"/>
    <col min="3341" max="3341" width="20" style="579" customWidth="1"/>
    <col min="3342" max="3342" width="13.7109375" style="579" bestFit="1" customWidth="1"/>
    <col min="3343" max="3343" width="18" style="579" customWidth="1"/>
    <col min="3344" max="3344" width="9.140625" style="579"/>
    <col min="3345" max="3345" width="11.7109375" style="579" bestFit="1" customWidth="1"/>
    <col min="3346" max="3584" width="9.140625" style="579"/>
    <col min="3585" max="3585" width="1.85546875" style="579" customWidth="1"/>
    <col min="3586" max="3586" width="12.42578125" style="579" bestFit="1" customWidth="1"/>
    <col min="3587" max="3587" width="9.140625" style="579"/>
    <col min="3588" max="3588" width="21.7109375" style="579" customWidth="1"/>
    <col min="3589" max="3590" width="13.85546875" style="579" bestFit="1" customWidth="1"/>
    <col min="3591" max="3591" width="5.42578125" style="579" customWidth="1"/>
    <col min="3592" max="3592" width="0" style="579" hidden="1" customWidth="1"/>
    <col min="3593" max="3593" width="24.140625" style="579" customWidth="1"/>
    <col min="3594" max="3594" width="0" style="579" hidden="1" customWidth="1"/>
    <col min="3595" max="3595" width="27.5703125" style="579" customWidth="1"/>
    <col min="3596" max="3596" width="0" style="579" hidden="1" customWidth="1"/>
    <col min="3597" max="3597" width="20" style="579" customWidth="1"/>
    <col min="3598" max="3598" width="13.7109375" style="579" bestFit="1" customWidth="1"/>
    <col min="3599" max="3599" width="18" style="579" customWidth="1"/>
    <col min="3600" max="3600" width="9.140625" style="579"/>
    <col min="3601" max="3601" width="11.7109375" style="579" bestFit="1" customWidth="1"/>
    <col min="3602" max="3840" width="9.140625" style="579"/>
    <col min="3841" max="3841" width="1.85546875" style="579" customWidth="1"/>
    <col min="3842" max="3842" width="12.42578125" style="579" bestFit="1" customWidth="1"/>
    <col min="3843" max="3843" width="9.140625" style="579"/>
    <col min="3844" max="3844" width="21.7109375" style="579" customWidth="1"/>
    <col min="3845" max="3846" width="13.85546875" style="579" bestFit="1" customWidth="1"/>
    <col min="3847" max="3847" width="5.42578125" style="579" customWidth="1"/>
    <col min="3848" max="3848" width="0" style="579" hidden="1" customWidth="1"/>
    <col min="3849" max="3849" width="24.140625" style="579" customWidth="1"/>
    <col min="3850" max="3850" width="0" style="579" hidden="1" customWidth="1"/>
    <col min="3851" max="3851" width="27.5703125" style="579" customWidth="1"/>
    <col min="3852" max="3852" width="0" style="579" hidden="1" customWidth="1"/>
    <col min="3853" max="3853" width="20" style="579" customWidth="1"/>
    <col min="3854" max="3854" width="13.7109375" style="579" bestFit="1" customWidth="1"/>
    <col min="3855" max="3855" width="18" style="579" customWidth="1"/>
    <col min="3856" max="3856" width="9.140625" style="579"/>
    <col min="3857" max="3857" width="11.7109375" style="579" bestFit="1" customWidth="1"/>
    <col min="3858" max="4096" width="9.140625" style="579"/>
    <col min="4097" max="4097" width="1.85546875" style="579" customWidth="1"/>
    <col min="4098" max="4098" width="12.42578125" style="579" bestFit="1" customWidth="1"/>
    <col min="4099" max="4099" width="9.140625" style="579"/>
    <col min="4100" max="4100" width="21.7109375" style="579" customWidth="1"/>
    <col min="4101" max="4102" width="13.85546875" style="579" bestFit="1" customWidth="1"/>
    <col min="4103" max="4103" width="5.42578125" style="579" customWidth="1"/>
    <col min="4104" max="4104" width="0" style="579" hidden="1" customWidth="1"/>
    <col min="4105" max="4105" width="24.140625" style="579" customWidth="1"/>
    <col min="4106" max="4106" width="0" style="579" hidden="1" customWidth="1"/>
    <col min="4107" max="4107" width="27.5703125" style="579" customWidth="1"/>
    <col min="4108" max="4108" width="0" style="579" hidden="1" customWidth="1"/>
    <col min="4109" max="4109" width="20" style="579" customWidth="1"/>
    <col min="4110" max="4110" width="13.7109375" style="579" bestFit="1" customWidth="1"/>
    <col min="4111" max="4111" width="18" style="579" customWidth="1"/>
    <col min="4112" max="4112" width="9.140625" style="579"/>
    <col min="4113" max="4113" width="11.7109375" style="579" bestFit="1" customWidth="1"/>
    <col min="4114" max="4352" width="9.140625" style="579"/>
    <col min="4353" max="4353" width="1.85546875" style="579" customWidth="1"/>
    <col min="4354" max="4354" width="12.42578125" style="579" bestFit="1" customWidth="1"/>
    <col min="4355" max="4355" width="9.140625" style="579"/>
    <col min="4356" max="4356" width="21.7109375" style="579" customWidth="1"/>
    <col min="4357" max="4358" width="13.85546875" style="579" bestFit="1" customWidth="1"/>
    <col min="4359" max="4359" width="5.42578125" style="579" customWidth="1"/>
    <col min="4360" max="4360" width="0" style="579" hidden="1" customWidth="1"/>
    <col min="4361" max="4361" width="24.140625" style="579" customWidth="1"/>
    <col min="4362" max="4362" width="0" style="579" hidden="1" customWidth="1"/>
    <col min="4363" max="4363" width="27.5703125" style="579" customWidth="1"/>
    <col min="4364" max="4364" width="0" style="579" hidden="1" customWidth="1"/>
    <col min="4365" max="4365" width="20" style="579" customWidth="1"/>
    <col min="4366" max="4366" width="13.7109375" style="579" bestFit="1" customWidth="1"/>
    <col min="4367" max="4367" width="18" style="579" customWidth="1"/>
    <col min="4368" max="4368" width="9.140625" style="579"/>
    <col min="4369" max="4369" width="11.7109375" style="579" bestFit="1" customWidth="1"/>
    <col min="4370" max="4608" width="9.140625" style="579"/>
    <col min="4609" max="4609" width="1.85546875" style="579" customWidth="1"/>
    <col min="4610" max="4610" width="12.42578125" style="579" bestFit="1" customWidth="1"/>
    <col min="4611" max="4611" width="9.140625" style="579"/>
    <col min="4612" max="4612" width="21.7109375" style="579" customWidth="1"/>
    <col min="4613" max="4614" width="13.85546875" style="579" bestFit="1" customWidth="1"/>
    <col min="4615" max="4615" width="5.42578125" style="579" customWidth="1"/>
    <col min="4616" max="4616" width="0" style="579" hidden="1" customWidth="1"/>
    <col min="4617" max="4617" width="24.140625" style="579" customWidth="1"/>
    <col min="4618" max="4618" width="0" style="579" hidden="1" customWidth="1"/>
    <col min="4619" max="4619" width="27.5703125" style="579" customWidth="1"/>
    <col min="4620" max="4620" width="0" style="579" hidden="1" customWidth="1"/>
    <col min="4621" max="4621" width="20" style="579" customWidth="1"/>
    <col min="4622" max="4622" width="13.7109375" style="579" bestFit="1" customWidth="1"/>
    <col min="4623" max="4623" width="18" style="579" customWidth="1"/>
    <col min="4624" max="4624" width="9.140625" style="579"/>
    <col min="4625" max="4625" width="11.7109375" style="579" bestFit="1" customWidth="1"/>
    <col min="4626" max="4864" width="9.140625" style="579"/>
    <col min="4865" max="4865" width="1.85546875" style="579" customWidth="1"/>
    <col min="4866" max="4866" width="12.42578125" style="579" bestFit="1" customWidth="1"/>
    <col min="4867" max="4867" width="9.140625" style="579"/>
    <col min="4868" max="4868" width="21.7109375" style="579" customWidth="1"/>
    <col min="4869" max="4870" width="13.85546875" style="579" bestFit="1" customWidth="1"/>
    <col min="4871" max="4871" width="5.42578125" style="579" customWidth="1"/>
    <col min="4872" max="4872" width="0" style="579" hidden="1" customWidth="1"/>
    <col min="4873" max="4873" width="24.140625" style="579" customWidth="1"/>
    <col min="4874" max="4874" width="0" style="579" hidden="1" customWidth="1"/>
    <col min="4875" max="4875" width="27.5703125" style="579" customWidth="1"/>
    <col min="4876" max="4876" width="0" style="579" hidden="1" customWidth="1"/>
    <col min="4877" max="4877" width="20" style="579" customWidth="1"/>
    <col min="4878" max="4878" width="13.7109375" style="579" bestFit="1" customWidth="1"/>
    <col min="4879" max="4879" width="18" style="579" customWidth="1"/>
    <col min="4880" max="4880" width="9.140625" style="579"/>
    <col min="4881" max="4881" width="11.7109375" style="579" bestFit="1" customWidth="1"/>
    <col min="4882" max="5120" width="9.140625" style="579"/>
    <col min="5121" max="5121" width="1.85546875" style="579" customWidth="1"/>
    <col min="5122" max="5122" width="12.42578125" style="579" bestFit="1" customWidth="1"/>
    <col min="5123" max="5123" width="9.140625" style="579"/>
    <col min="5124" max="5124" width="21.7109375" style="579" customWidth="1"/>
    <col min="5125" max="5126" width="13.85546875" style="579" bestFit="1" customWidth="1"/>
    <col min="5127" max="5127" width="5.42578125" style="579" customWidth="1"/>
    <col min="5128" max="5128" width="0" style="579" hidden="1" customWidth="1"/>
    <col min="5129" max="5129" width="24.140625" style="579" customWidth="1"/>
    <col min="5130" max="5130" width="0" style="579" hidden="1" customWidth="1"/>
    <col min="5131" max="5131" width="27.5703125" style="579" customWidth="1"/>
    <col min="5132" max="5132" width="0" style="579" hidden="1" customWidth="1"/>
    <col min="5133" max="5133" width="20" style="579" customWidth="1"/>
    <col min="5134" max="5134" width="13.7109375" style="579" bestFit="1" customWidth="1"/>
    <col min="5135" max="5135" width="18" style="579" customWidth="1"/>
    <col min="5136" max="5136" width="9.140625" style="579"/>
    <col min="5137" max="5137" width="11.7109375" style="579" bestFit="1" customWidth="1"/>
    <col min="5138" max="5376" width="9.140625" style="579"/>
    <col min="5377" max="5377" width="1.85546875" style="579" customWidth="1"/>
    <col min="5378" max="5378" width="12.42578125" style="579" bestFit="1" customWidth="1"/>
    <col min="5379" max="5379" width="9.140625" style="579"/>
    <col min="5380" max="5380" width="21.7109375" style="579" customWidth="1"/>
    <col min="5381" max="5382" width="13.85546875" style="579" bestFit="1" customWidth="1"/>
    <col min="5383" max="5383" width="5.42578125" style="579" customWidth="1"/>
    <col min="5384" max="5384" width="0" style="579" hidden="1" customWidth="1"/>
    <col min="5385" max="5385" width="24.140625" style="579" customWidth="1"/>
    <col min="5386" max="5386" width="0" style="579" hidden="1" customWidth="1"/>
    <col min="5387" max="5387" width="27.5703125" style="579" customWidth="1"/>
    <col min="5388" max="5388" width="0" style="579" hidden="1" customWidth="1"/>
    <col min="5389" max="5389" width="20" style="579" customWidth="1"/>
    <col min="5390" max="5390" width="13.7109375" style="579" bestFit="1" customWidth="1"/>
    <col min="5391" max="5391" width="18" style="579" customWidth="1"/>
    <col min="5392" max="5392" width="9.140625" style="579"/>
    <col min="5393" max="5393" width="11.7109375" style="579" bestFit="1" customWidth="1"/>
    <col min="5394" max="5632" width="9.140625" style="579"/>
    <col min="5633" max="5633" width="1.85546875" style="579" customWidth="1"/>
    <col min="5634" max="5634" width="12.42578125" style="579" bestFit="1" customWidth="1"/>
    <col min="5635" max="5635" width="9.140625" style="579"/>
    <col min="5636" max="5636" width="21.7109375" style="579" customWidth="1"/>
    <col min="5637" max="5638" width="13.85546875" style="579" bestFit="1" customWidth="1"/>
    <col min="5639" max="5639" width="5.42578125" style="579" customWidth="1"/>
    <col min="5640" max="5640" width="0" style="579" hidden="1" customWidth="1"/>
    <col min="5641" max="5641" width="24.140625" style="579" customWidth="1"/>
    <col min="5642" max="5642" width="0" style="579" hidden="1" customWidth="1"/>
    <col min="5643" max="5643" width="27.5703125" style="579" customWidth="1"/>
    <col min="5644" max="5644" width="0" style="579" hidden="1" customWidth="1"/>
    <col min="5645" max="5645" width="20" style="579" customWidth="1"/>
    <col min="5646" max="5646" width="13.7109375" style="579" bestFit="1" customWidth="1"/>
    <col min="5647" max="5647" width="18" style="579" customWidth="1"/>
    <col min="5648" max="5648" width="9.140625" style="579"/>
    <col min="5649" max="5649" width="11.7109375" style="579" bestFit="1" customWidth="1"/>
    <col min="5650" max="5888" width="9.140625" style="579"/>
    <col min="5889" max="5889" width="1.85546875" style="579" customWidth="1"/>
    <col min="5890" max="5890" width="12.42578125" style="579" bestFit="1" customWidth="1"/>
    <col min="5891" max="5891" width="9.140625" style="579"/>
    <col min="5892" max="5892" width="21.7109375" style="579" customWidth="1"/>
    <col min="5893" max="5894" width="13.85546875" style="579" bestFit="1" customWidth="1"/>
    <col min="5895" max="5895" width="5.42578125" style="579" customWidth="1"/>
    <col min="5896" max="5896" width="0" style="579" hidden="1" customWidth="1"/>
    <col min="5897" max="5897" width="24.140625" style="579" customWidth="1"/>
    <col min="5898" max="5898" width="0" style="579" hidden="1" customWidth="1"/>
    <col min="5899" max="5899" width="27.5703125" style="579" customWidth="1"/>
    <col min="5900" max="5900" width="0" style="579" hidden="1" customWidth="1"/>
    <col min="5901" max="5901" width="20" style="579" customWidth="1"/>
    <col min="5902" max="5902" width="13.7109375" style="579" bestFit="1" customWidth="1"/>
    <col min="5903" max="5903" width="18" style="579" customWidth="1"/>
    <col min="5904" max="5904" width="9.140625" style="579"/>
    <col min="5905" max="5905" width="11.7109375" style="579" bestFit="1" customWidth="1"/>
    <col min="5906" max="6144" width="9.140625" style="579"/>
    <col min="6145" max="6145" width="1.85546875" style="579" customWidth="1"/>
    <col min="6146" max="6146" width="12.42578125" style="579" bestFit="1" customWidth="1"/>
    <col min="6147" max="6147" width="9.140625" style="579"/>
    <col min="6148" max="6148" width="21.7109375" style="579" customWidth="1"/>
    <col min="6149" max="6150" width="13.85546875" style="579" bestFit="1" customWidth="1"/>
    <col min="6151" max="6151" width="5.42578125" style="579" customWidth="1"/>
    <col min="6152" max="6152" width="0" style="579" hidden="1" customWidth="1"/>
    <col min="6153" max="6153" width="24.140625" style="579" customWidth="1"/>
    <col min="6154" max="6154" width="0" style="579" hidden="1" customWidth="1"/>
    <col min="6155" max="6155" width="27.5703125" style="579" customWidth="1"/>
    <col min="6156" max="6156" width="0" style="579" hidden="1" customWidth="1"/>
    <col min="6157" max="6157" width="20" style="579" customWidth="1"/>
    <col min="6158" max="6158" width="13.7109375" style="579" bestFit="1" customWidth="1"/>
    <col min="6159" max="6159" width="18" style="579" customWidth="1"/>
    <col min="6160" max="6160" width="9.140625" style="579"/>
    <col min="6161" max="6161" width="11.7109375" style="579" bestFit="1" customWidth="1"/>
    <col min="6162" max="6400" width="9.140625" style="579"/>
    <col min="6401" max="6401" width="1.85546875" style="579" customWidth="1"/>
    <col min="6402" max="6402" width="12.42578125" style="579" bestFit="1" customWidth="1"/>
    <col min="6403" max="6403" width="9.140625" style="579"/>
    <col min="6404" max="6404" width="21.7109375" style="579" customWidth="1"/>
    <col min="6405" max="6406" width="13.85546875" style="579" bestFit="1" customWidth="1"/>
    <col min="6407" max="6407" width="5.42578125" style="579" customWidth="1"/>
    <col min="6408" max="6408" width="0" style="579" hidden="1" customWidth="1"/>
    <col min="6409" max="6409" width="24.140625" style="579" customWidth="1"/>
    <col min="6410" max="6410" width="0" style="579" hidden="1" customWidth="1"/>
    <col min="6411" max="6411" width="27.5703125" style="579" customWidth="1"/>
    <col min="6412" max="6412" width="0" style="579" hidden="1" customWidth="1"/>
    <col min="6413" max="6413" width="20" style="579" customWidth="1"/>
    <col min="6414" max="6414" width="13.7109375" style="579" bestFit="1" customWidth="1"/>
    <col min="6415" max="6415" width="18" style="579" customWidth="1"/>
    <col min="6416" max="6416" width="9.140625" style="579"/>
    <col min="6417" max="6417" width="11.7109375" style="579" bestFit="1" customWidth="1"/>
    <col min="6418" max="6656" width="9.140625" style="579"/>
    <col min="6657" max="6657" width="1.85546875" style="579" customWidth="1"/>
    <col min="6658" max="6658" width="12.42578125" style="579" bestFit="1" customWidth="1"/>
    <col min="6659" max="6659" width="9.140625" style="579"/>
    <col min="6660" max="6660" width="21.7109375" style="579" customWidth="1"/>
    <col min="6661" max="6662" width="13.85546875" style="579" bestFit="1" customWidth="1"/>
    <col min="6663" max="6663" width="5.42578125" style="579" customWidth="1"/>
    <col min="6664" max="6664" width="0" style="579" hidden="1" customWidth="1"/>
    <col min="6665" max="6665" width="24.140625" style="579" customWidth="1"/>
    <col min="6666" max="6666" width="0" style="579" hidden="1" customWidth="1"/>
    <col min="6667" max="6667" width="27.5703125" style="579" customWidth="1"/>
    <col min="6668" max="6668" width="0" style="579" hidden="1" customWidth="1"/>
    <col min="6669" max="6669" width="20" style="579" customWidth="1"/>
    <col min="6670" max="6670" width="13.7109375" style="579" bestFit="1" customWidth="1"/>
    <col min="6671" max="6671" width="18" style="579" customWidth="1"/>
    <col min="6672" max="6672" width="9.140625" style="579"/>
    <col min="6673" max="6673" width="11.7109375" style="579" bestFit="1" customWidth="1"/>
    <col min="6674" max="6912" width="9.140625" style="579"/>
    <col min="6913" max="6913" width="1.85546875" style="579" customWidth="1"/>
    <col min="6914" max="6914" width="12.42578125" style="579" bestFit="1" customWidth="1"/>
    <col min="6915" max="6915" width="9.140625" style="579"/>
    <col min="6916" max="6916" width="21.7109375" style="579" customWidth="1"/>
    <col min="6917" max="6918" width="13.85546875" style="579" bestFit="1" customWidth="1"/>
    <col min="6919" max="6919" width="5.42578125" style="579" customWidth="1"/>
    <col min="6920" max="6920" width="0" style="579" hidden="1" customWidth="1"/>
    <col min="6921" max="6921" width="24.140625" style="579" customWidth="1"/>
    <col min="6922" max="6922" width="0" style="579" hidden="1" customWidth="1"/>
    <col min="6923" max="6923" width="27.5703125" style="579" customWidth="1"/>
    <col min="6924" max="6924" width="0" style="579" hidden="1" customWidth="1"/>
    <col min="6925" max="6925" width="20" style="579" customWidth="1"/>
    <col min="6926" max="6926" width="13.7109375" style="579" bestFit="1" customWidth="1"/>
    <col min="6927" max="6927" width="18" style="579" customWidth="1"/>
    <col min="6928" max="6928" width="9.140625" style="579"/>
    <col min="6929" max="6929" width="11.7109375" style="579" bestFit="1" customWidth="1"/>
    <col min="6930" max="7168" width="9.140625" style="579"/>
    <col min="7169" max="7169" width="1.85546875" style="579" customWidth="1"/>
    <col min="7170" max="7170" width="12.42578125" style="579" bestFit="1" customWidth="1"/>
    <col min="7171" max="7171" width="9.140625" style="579"/>
    <col min="7172" max="7172" width="21.7109375" style="579" customWidth="1"/>
    <col min="7173" max="7174" width="13.85546875" style="579" bestFit="1" customWidth="1"/>
    <col min="7175" max="7175" width="5.42578125" style="579" customWidth="1"/>
    <col min="7176" max="7176" width="0" style="579" hidden="1" customWidth="1"/>
    <col min="7177" max="7177" width="24.140625" style="579" customWidth="1"/>
    <col min="7178" max="7178" width="0" style="579" hidden="1" customWidth="1"/>
    <col min="7179" max="7179" width="27.5703125" style="579" customWidth="1"/>
    <col min="7180" max="7180" width="0" style="579" hidden="1" customWidth="1"/>
    <col min="7181" max="7181" width="20" style="579" customWidth="1"/>
    <col min="7182" max="7182" width="13.7109375" style="579" bestFit="1" customWidth="1"/>
    <col min="7183" max="7183" width="18" style="579" customWidth="1"/>
    <col min="7184" max="7184" width="9.140625" style="579"/>
    <col min="7185" max="7185" width="11.7109375" style="579" bestFit="1" customWidth="1"/>
    <col min="7186" max="7424" width="9.140625" style="579"/>
    <col min="7425" max="7425" width="1.85546875" style="579" customWidth="1"/>
    <col min="7426" max="7426" width="12.42578125" style="579" bestFit="1" customWidth="1"/>
    <col min="7427" max="7427" width="9.140625" style="579"/>
    <col min="7428" max="7428" width="21.7109375" style="579" customWidth="1"/>
    <col min="7429" max="7430" width="13.85546875" style="579" bestFit="1" customWidth="1"/>
    <col min="7431" max="7431" width="5.42578125" style="579" customWidth="1"/>
    <col min="7432" max="7432" width="0" style="579" hidden="1" customWidth="1"/>
    <col min="7433" max="7433" width="24.140625" style="579" customWidth="1"/>
    <col min="7434" max="7434" width="0" style="579" hidden="1" customWidth="1"/>
    <col min="7435" max="7435" width="27.5703125" style="579" customWidth="1"/>
    <col min="7436" max="7436" width="0" style="579" hidden="1" customWidth="1"/>
    <col min="7437" max="7437" width="20" style="579" customWidth="1"/>
    <col min="7438" max="7438" width="13.7109375" style="579" bestFit="1" customWidth="1"/>
    <col min="7439" max="7439" width="18" style="579" customWidth="1"/>
    <col min="7440" max="7440" width="9.140625" style="579"/>
    <col min="7441" max="7441" width="11.7109375" style="579" bestFit="1" customWidth="1"/>
    <col min="7442" max="7680" width="9.140625" style="579"/>
    <col min="7681" max="7681" width="1.85546875" style="579" customWidth="1"/>
    <col min="7682" max="7682" width="12.42578125" style="579" bestFit="1" customWidth="1"/>
    <col min="7683" max="7683" width="9.140625" style="579"/>
    <col min="7684" max="7684" width="21.7109375" style="579" customWidth="1"/>
    <col min="7685" max="7686" width="13.85546875" style="579" bestFit="1" customWidth="1"/>
    <col min="7687" max="7687" width="5.42578125" style="579" customWidth="1"/>
    <col min="7688" max="7688" width="0" style="579" hidden="1" customWidth="1"/>
    <col min="7689" max="7689" width="24.140625" style="579" customWidth="1"/>
    <col min="7690" max="7690" width="0" style="579" hidden="1" customWidth="1"/>
    <col min="7691" max="7691" width="27.5703125" style="579" customWidth="1"/>
    <col min="7692" max="7692" width="0" style="579" hidden="1" customWidth="1"/>
    <col min="7693" max="7693" width="20" style="579" customWidth="1"/>
    <col min="7694" max="7694" width="13.7109375" style="579" bestFit="1" customWidth="1"/>
    <col min="7695" max="7695" width="18" style="579" customWidth="1"/>
    <col min="7696" max="7696" width="9.140625" style="579"/>
    <col min="7697" max="7697" width="11.7109375" style="579" bestFit="1" customWidth="1"/>
    <col min="7698" max="7936" width="9.140625" style="579"/>
    <col min="7937" max="7937" width="1.85546875" style="579" customWidth="1"/>
    <col min="7938" max="7938" width="12.42578125" style="579" bestFit="1" customWidth="1"/>
    <col min="7939" max="7939" width="9.140625" style="579"/>
    <col min="7940" max="7940" width="21.7109375" style="579" customWidth="1"/>
    <col min="7941" max="7942" width="13.85546875" style="579" bestFit="1" customWidth="1"/>
    <col min="7943" max="7943" width="5.42578125" style="579" customWidth="1"/>
    <col min="7944" max="7944" width="0" style="579" hidden="1" customWidth="1"/>
    <col min="7945" max="7945" width="24.140625" style="579" customWidth="1"/>
    <col min="7946" max="7946" width="0" style="579" hidden="1" customWidth="1"/>
    <col min="7947" max="7947" width="27.5703125" style="579" customWidth="1"/>
    <col min="7948" max="7948" width="0" style="579" hidden="1" customWidth="1"/>
    <col min="7949" max="7949" width="20" style="579" customWidth="1"/>
    <col min="7950" max="7950" width="13.7109375" style="579" bestFit="1" customWidth="1"/>
    <col min="7951" max="7951" width="18" style="579" customWidth="1"/>
    <col min="7952" max="7952" width="9.140625" style="579"/>
    <col min="7953" max="7953" width="11.7109375" style="579" bestFit="1" customWidth="1"/>
    <col min="7954" max="8192" width="9.140625" style="579"/>
    <col min="8193" max="8193" width="1.85546875" style="579" customWidth="1"/>
    <col min="8194" max="8194" width="12.42578125" style="579" bestFit="1" customWidth="1"/>
    <col min="8195" max="8195" width="9.140625" style="579"/>
    <col min="8196" max="8196" width="21.7109375" style="579" customWidth="1"/>
    <col min="8197" max="8198" width="13.85546875" style="579" bestFit="1" customWidth="1"/>
    <col min="8199" max="8199" width="5.42578125" style="579" customWidth="1"/>
    <col min="8200" max="8200" width="0" style="579" hidden="1" customWidth="1"/>
    <col min="8201" max="8201" width="24.140625" style="579" customWidth="1"/>
    <col min="8202" max="8202" width="0" style="579" hidden="1" customWidth="1"/>
    <col min="8203" max="8203" width="27.5703125" style="579" customWidth="1"/>
    <col min="8204" max="8204" width="0" style="579" hidden="1" customWidth="1"/>
    <col min="8205" max="8205" width="20" style="579" customWidth="1"/>
    <col min="8206" max="8206" width="13.7109375" style="579" bestFit="1" customWidth="1"/>
    <col min="8207" max="8207" width="18" style="579" customWidth="1"/>
    <col min="8208" max="8208" width="9.140625" style="579"/>
    <col min="8209" max="8209" width="11.7109375" style="579" bestFit="1" customWidth="1"/>
    <col min="8210" max="8448" width="9.140625" style="579"/>
    <col min="8449" max="8449" width="1.85546875" style="579" customWidth="1"/>
    <col min="8450" max="8450" width="12.42578125" style="579" bestFit="1" customWidth="1"/>
    <col min="8451" max="8451" width="9.140625" style="579"/>
    <col min="8452" max="8452" width="21.7109375" style="579" customWidth="1"/>
    <col min="8453" max="8454" width="13.85546875" style="579" bestFit="1" customWidth="1"/>
    <col min="8455" max="8455" width="5.42578125" style="579" customWidth="1"/>
    <col min="8456" max="8456" width="0" style="579" hidden="1" customWidth="1"/>
    <col min="8457" max="8457" width="24.140625" style="579" customWidth="1"/>
    <col min="8458" max="8458" width="0" style="579" hidden="1" customWidth="1"/>
    <col min="8459" max="8459" width="27.5703125" style="579" customWidth="1"/>
    <col min="8460" max="8460" width="0" style="579" hidden="1" customWidth="1"/>
    <col min="8461" max="8461" width="20" style="579" customWidth="1"/>
    <col min="8462" max="8462" width="13.7109375" style="579" bestFit="1" customWidth="1"/>
    <col min="8463" max="8463" width="18" style="579" customWidth="1"/>
    <col min="8464" max="8464" width="9.140625" style="579"/>
    <col min="8465" max="8465" width="11.7109375" style="579" bestFit="1" customWidth="1"/>
    <col min="8466" max="8704" width="9.140625" style="579"/>
    <col min="8705" max="8705" width="1.85546875" style="579" customWidth="1"/>
    <col min="8706" max="8706" width="12.42578125" style="579" bestFit="1" customWidth="1"/>
    <col min="8707" max="8707" width="9.140625" style="579"/>
    <col min="8708" max="8708" width="21.7109375" style="579" customWidth="1"/>
    <col min="8709" max="8710" width="13.85546875" style="579" bestFit="1" customWidth="1"/>
    <col min="8711" max="8711" width="5.42578125" style="579" customWidth="1"/>
    <col min="8712" max="8712" width="0" style="579" hidden="1" customWidth="1"/>
    <col min="8713" max="8713" width="24.140625" style="579" customWidth="1"/>
    <col min="8714" max="8714" width="0" style="579" hidden="1" customWidth="1"/>
    <col min="8715" max="8715" width="27.5703125" style="579" customWidth="1"/>
    <col min="8716" max="8716" width="0" style="579" hidden="1" customWidth="1"/>
    <col min="8717" max="8717" width="20" style="579" customWidth="1"/>
    <col min="8718" max="8718" width="13.7109375" style="579" bestFit="1" customWidth="1"/>
    <col min="8719" max="8719" width="18" style="579" customWidth="1"/>
    <col min="8720" max="8720" width="9.140625" style="579"/>
    <col min="8721" max="8721" width="11.7109375" style="579" bestFit="1" customWidth="1"/>
    <col min="8722" max="8960" width="9.140625" style="579"/>
    <col min="8961" max="8961" width="1.85546875" style="579" customWidth="1"/>
    <col min="8962" max="8962" width="12.42578125" style="579" bestFit="1" customWidth="1"/>
    <col min="8963" max="8963" width="9.140625" style="579"/>
    <col min="8964" max="8964" width="21.7109375" style="579" customWidth="1"/>
    <col min="8965" max="8966" width="13.85546875" style="579" bestFit="1" customWidth="1"/>
    <col min="8967" max="8967" width="5.42578125" style="579" customWidth="1"/>
    <col min="8968" max="8968" width="0" style="579" hidden="1" customWidth="1"/>
    <col min="8969" max="8969" width="24.140625" style="579" customWidth="1"/>
    <col min="8970" max="8970" width="0" style="579" hidden="1" customWidth="1"/>
    <col min="8971" max="8971" width="27.5703125" style="579" customWidth="1"/>
    <col min="8972" max="8972" width="0" style="579" hidden="1" customWidth="1"/>
    <col min="8973" max="8973" width="20" style="579" customWidth="1"/>
    <col min="8974" max="8974" width="13.7109375" style="579" bestFit="1" customWidth="1"/>
    <col min="8975" max="8975" width="18" style="579" customWidth="1"/>
    <col min="8976" max="8976" width="9.140625" style="579"/>
    <col min="8977" max="8977" width="11.7109375" style="579" bestFit="1" customWidth="1"/>
    <col min="8978" max="9216" width="9.140625" style="579"/>
    <col min="9217" max="9217" width="1.85546875" style="579" customWidth="1"/>
    <col min="9218" max="9218" width="12.42578125" style="579" bestFit="1" customWidth="1"/>
    <col min="9219" max="9219" width="9.140625" style="579"/>
    <col min="9220" max="9220" width="21.7109375" style="579" customWidth="1"/>
    <col min="9221" max="9222" width="13.85546875" style="579" bestFit="1" customWidth="1"/>
    <col min="9223" max="9223" width="5.42578125" style="579" customWidth="1"/>
    <col min="9224" max="9224" width="0" style="579" hidden="1" customWidth="1"/>
    <col min="9225" max="9225" width="24.140625" style="579" customWidth="1"/>
    <col min="9226" max="9226" width="0" style="579" hidden="1" customWidth="1"/>
    <col min="9227" max="9227" width="27.5703125" style="579" customWidth="1"/>
    <col min="9228" max="9228" width="0" style="579" hidden="1" customWidth="1"/>
    <col min="9229" max="9229" width="20" style="579" customWidth="1"/>
    <col min="9230" max="9230" width="13.7109375" style="579" bestFit="1" customWidth="1"/>
    <col min="9231" max="9231" width="18" style="579" customWidth="1"/>
    <col min="9232" max="9232" width="9.140625" style="579"/>
    <col min="9233" max="9233" width="11.7109375" style="579" bestFit="1" customWidth="1"/>
    <col min="9234" max="9472" width="9.140625" style="579"/>
    <col min="9473" max="9473" width="1.85546875" style="579" customWidth="1"/>
    <col min="9474" max="9474" width="12.42578125" style="579" bestFit="1" customWidth="1"/>
    <col min="9475" max="9475" width="9.140625" style="579"/>
    <col min="9476" max="9476" width="21.7109375" style="579" customWidth="1"/>
    <col min="9477" max="9478" width="13.85546875" style="579" bestFit="1" customWidth="1"/>
    <col min="9479" max="9479" width="5.42578125" style="579" customWidth="1"/>
    <col min="9480" max="9480" width="0" style="579" hidden="1" customWidth="1"/>
    <col min="9481" max="9481" width="24.140625" style="579" customWidth="1"/>
    <col min="9482" max="9482" width="0" style="579" hidden="1" customWidth="1"/>
    <col min="9483" max="9483" width="27.5703125" style="579" customWidth="1"/>
    <col min="9484" max="9484" width="0" style="579" hidden="1" customWidth="1"/>
    <col min="9485" max="9485" width="20" style="579" customWidth="1"/>
    <col min="9486" max="9486" width="13.7109375" style="579" bestFit="1" customWidth="1"/>
    <col min="9487" max="9487" width="18" style="579" customWidth="1"/>
    <col min="9488" max="9488" width="9.140625" style="579"/>
    <col min="9489" max="9489" width="11.7109375" style="579" bestFit="1" customWidth="1"/>
    <col min="9490" max="9728" width="9.140625" style="579"/>
    <col min="9729" max="9729" width="1.85546875" style="579" customWidth="1"/>
    <col min="9730" max="9730" width="12.42578125" style="579" bestFit="1" customWidth="1"/>
    <col min="9731" max="9731" width="9.140625" style="579"/>
    <col min="9732" max="9732" width="21.7109375" style="579" customWidth="1"/>
    <col min="9733" max="9734" width="13.85546875" style="579" bestFit="1" customWidth="1"/>
    <col min="9735" max="9735" width="5.42578125" style="579" customWidth="1"/>
    <col min="9736" max="9736" width="0" style="579" hidden="1" customWidth="1"/>
    <col min="9737" max="9737" width="24.140625" style="579" customWidth="1"/>
    <col min="9738" max="9738" width="0" style="579" hidden="1" customWidth="1"/>
    <col min="9739" max="9739" width="27.5703125" style="579" customWidth="1"/>
    <col min="9740" max="9740" width="0" style="579" hidden="1" customWidth="1"/>
    <col min="9741" max="9741" width="20" style="579" customWidth="1"/>
    <col min="9742" max="9742" width="13.7109375" style="579" bestFit="1" customWidth="1"/>
    <col min="9743" max="9743" width="18" style="579" customWidth="1"/>
    <col min="9744" max="9744" width="9.140625" style="579"/>
    <col min="9745" max="9745" width="11.7109375" style="579" bestFit="1" customWidth="1"/>
    <col min="9746" max="9984" width="9.140625" style="579"/>
    <col min="9985" max="9985" width="1.85546875" style="579" customWidth="1"/>
    <col min="9986" max="9986" width="12.42578125" style="579" bestFit="1" customWidth="1"/>
    <col min="9987" max="9987" width="9.140625" style="579"/>
    <col min="9988" max="9988" width="21.7109375" style="579" customWidth="1"/>
    <col min="9989" max="9990" width="13.85546875" style="579" bestFit="1" customWidth="1"/>
    <col min="9991" max="9991" width="5.42578125" style="579" customWidth="1"/>
    <col min="9992" max="9992" width="0" style="579" hidden="1" customWidth="1"/>
    <col min="9993" max="9993" width="24.140625" style="579" customWidth="1"/>
    <col min="9994" max="9994" width="0" style="579" hidden="1" customWidth="1"/>
    <col min="9995" max="9995" width="27.5703125" style="579" customWidth="1"/>
    <col min="9996" max="9996" width="0" style="579" hidden="1" customWidth="1"/>
    <col min="9997" max="9997" width="20" style="579" customWidth="1"/>
    <col min="9998" max="9998" width="13.7109375" style="579" bestFit="1" customWidth="1"/>
    <col min="9999" max="9999" width="18" style="579" customWidth="1"/>
    <col min="10000" max="10000" width="9.140625" style="579"/>
    <col min="10001" max="10001" width="11.7109375" style="579" bestFit="1" customWidth="1"/>
    <col min="10002" max="10240" width="9.140625" style="579"/>
    <col min="10241" max="10241" width="1.85546875" style="579" customWidth="1"/>
    <col min="10242" max="10242" width="12.42578125" style="579" bestFit="1" customWidth="1"/>
    <col min="10243" max="10243" width="9.140625" style="579"/>
    <col min="10244" max="10244" width="21.7109375" style="579" customWidth="1"/>
    <col min="10245" max="10246" width="13.85546875" style="579" bestFit="1" customWidth="1"/>
    <col min="10247" max="10247" width="5.42578125" style="579" customWidth="1"/>
    <col min="10248" max="10248" width="0" style="579" hidden="1" customWidth="1"/>
    <col min="10249" max="10249" width="24.140625" style="579" customWidth="1"/>
    <col min="10250" max="10250" width="0" style="579" hidden="1" customWidth="1"/>
    <col min="10251" max="10251" width="27.5703125" style="579" customWidth="1"/>
    <col min="10252" max="10252" width="0" style="579" hidden="1" customWidth="1"/>
    <col min="10253" max="10253" width="20" style="579" customWidth="1"/>
    <col min="10254" max="10254" width="13.7109375" style="579" bestFit="1" customWidth="1"/>
    <col min="10255" max="10255" width="18" style="579" customWidth="1"/>
    <col min="10256" max="10256" width="9.140625" style="579"/>
    <col min="10257" max="10257" width="11.7109375" style="579" bestFit="1" customWidth="1"/>
    <col min="10258" max="10496" width="9.140625" style="579"/>
    <col min="10497" max="10497" width="1.85546875" style="579" customWidth="1"/>
    <col min="10498" max="10498" width="12.42578125" style="579" bestFit="1" customWidth="1"/>
    <col min="10499" max="10499" width="9.140625" style="579"/>
    <col min="10500" max="10500" width="21.7109375" style="579" customWidth="1"/>
    <col min="10501" max="10502" width="13.85546875" style="579" bestFit="1" customWidth="1"/>
    <col min="10503" max="10503" width="5.42578125" style="579" customWidth="1"/>
    <col min="10504" max="10504" width="0" style="579" hidden="1" customWidth="1"/>
    <col min="10505" max="10505" width="24.140625" style="579" customWidth="1"/>
    <col min="10506" max="10506" width="0" style="579" hidden="1" customWidth="1"/>
    <col min="10507" max="10507" width="27.5703125" style="579" customWidth="1"/>
    <col min="10508" max="10508" width="0" style="579" hidden="1" customWidth="1"/>
    <col min="10509" max="10509" width="20" style="579" customWidth="1"/>
    <col min="10510" max="10510" width="13.7109375" style="579" bestFit="1" customWidth="1"/>
    <col min="10511" max="10511" width="18" style="579" customWidth="1"/>
    <col min="10512" max="10512" width="9.140625" style="579"/>
    <col min="10513" max="10513" width="11.7109375" style="579" bestFit="1" customWidth="1"/>
    <col min="10514" max="10752" width="9.140625" style="579"/>
    <col min="10753" max="10753" width="1.85546875" style="579" customWidth="1"/>
    <col min="10754" max="10754" width="12.42578125" style="579" bestFit="1" customWidth="1"/>
    <col min="10755" max="10755" width="9.140625" style="579"/>
    <col min="10756" max="10756" width="21.7109375" style="579" customWidth="1"/>
    <col min="10757" max="10758" width="13.85546875" style="579" bestFit="1" customWidth="1"/>
    <col min="10759" max="10759" width="5.42578125" style="579" customWidth="1"/>
    <col min="10760" max="10760" width="0" style="579" hidden="1" customWidth="1"/>
    <col min="10761" max="10761" width="24.140625" style="579" customWidth="1"/>
    <col min="10762" max="10762" width="0" style="579" hidden="1" customWidth="1"/>
    <col min="10763" max="10763" width="27.5703125" style="579" customWidth="1"/>
    <col min="10764" max="10764" width="0" style="579" hidden="1" customWidth="1"/>
    <col min="10765" max="10765" width="20" style="579" customWidth="1"/>
    <col min="10766" max="10766" width="13.7109375" style="579" bestFit="1" customWidth="1"/>
    <col min="10767" max="10767" width="18" style="579" customWidth="1"/>
    <col min="10768" max="10768" width="9.140625" style="579"/>
    <col min="10769" max="10769" width="11.7109375" style="579" bestFit="1" customWidth="1"/>
    <col min="10770" max="11008" width="9.140625" style="579"/>
    <col min="11009" max="11009" width="1.85546875" style="579" customWidth="1"/>
    <col min="11010" max="11010" width="12.42578125" style="579" bestFit="1" customWidth="1"/>
    <col min="11011" max="11011" width="9.140625" style="579"/>
    <col min="11012" max="11012" width="21.7109375" style="579" customWidth="1"/>
    <col min="11013" max="11014" width="13.85546875" style="579" bestFit="1" customWidth="1"/>
    <col min="11015" max="11015" width="5.42578125" style="579" customWidth="1"/>
    <col min="11016" max="11016" width="0" style="579" hidden="1" customWidth="1"/>
    <col min="11017" max="11017" width="24.140625" style="579" customWidth="1"/>
    <col min="11018" max="11018" width="0" style="579" hidden="1" customWidth="1"/>
    <col min="11019" max="11019" width="27.5703125" style="579" customWidth="1"/>
    <col min="11020" max="11020" width="0" style="579" hidden="1" customWidth="1"/>
    <col min="11021" max="11021" width="20" style="579" customWidth="1"/>
    <col min="11022" max="11022" width="13.7109375" style="579" bestFit="1" customWidth="1"/>
    <col min="11023" max="11023" width="18" style="579" customWidth="1"/>
    <col min="11024" max="11024" width="9.140625" style="579"/>
    <col min="11025" max="11025" width="11.7109375" style="579" bestFit="1" customWidth="1"/>
    <col min="11026" max="11264" width="9.140625" style="579"/>
    <col min="11265" max="11265" width="1.85546875" style="579" customWidth="1"/>
    <col min="11266" max="11266" width="12.42578125" style="579" bestFit="1" customWidth="1"/>
    <col min="11267" max="11267" width="9.140625" style="579"/>
    <col min="11268" max="11268" width="21.7109375" style="579" customWidth="1"/>
    <col min="11269" max="11270" width="13.85546875" style="579" bestFit="1" customWidth="1"/>
    <col min="11271" max="11271" width="5.42578125" style="579" customWidth="1"/>
    <col min="11272" max="11272" width="0" style="579" hidden="1" customWidth="1"/>
    <col min="11273" max="11273" width="24.140625" style="579" customWidth="1"/>
    <col min="11274" max="11274" width="0" style="579" hidden="1" customWidth="1"/>
    <col min="11275" max="11275" width="27.5703125" style="579" customWidth="1"/>
    <col min="11276" max="11276" width="0" style="579" hidden="1" customWidth="1"/>
    <col min="11277" max="11277" width="20" style="579" customWidth="1"/>
    <col min="11278" max="11278" width="13.7109375" style="579" bestFit="1" customWidth="1"/>
    <col min="11279" max="11279" width="18" style="579" customWidth="1"/>
    <col min="11280" max="11280" width="9.140625" style="579"/>
    <col min="11281" max="11281" width="11.7109375" style="579" bestFit="1" customWidth="1"/>
    <col min="11282" max="11520" width="9.140625" style="579"/>
    <col min="11521" max="11521" width="1.85546875" style="579" customWidth="1"/>
    <col min="11522" max="11522" width="12.42578125" style="579" bestFit="1" customWidth="1"/>
    <col min="11523" max="11523" width="9.140625" style="579"/>
    <col min="11524" max="11524" width="21.7109375" style="579" customWidth="1"/>
    <col min="11525" max="11526" width="13.85546875" style="579" bestFit="1" customWidth="1"/>
    <col min="11527" max="11527" width="5.42578125" style="579" customWidth="1"/>
    <col min="11528" max="11528" width="0" style="579" hidden="1" customWidth="1"/>
    <col min="11529" max="11529" width="24.140625" style="579" customWidth="1"/>
    <col min="11530" max="11530" width="0" style="579" hidden="1" customWidth="1"/>
    <col min="11531" max="11531" width="27.5703125" style="579" customWidth="1"/>
    <col min="11532" max="11532" width="0" style="579" hidden="1" customWidth="1"/>
    <col min="11533" max="11533" width="20" style="579" customWidth="1"/>
    <col min="11534" max="11534" width="13.7109375" style="579" bestFit="1" customWidth="1"/>
    <col min="11535" max="11535" width="18" style="579" customWidth="1"/>
    <col min="11536" max="11536" width="9.140625" style="579"/>
    <col min="11537" max="11537" width="11.7109375" style="579" bestFit="1" customWidth="1"/>
    <col min="11538" max="11776" width="9.140625" style="579"/>
    <col min="11777" max="11777" width="1.85546875" style="579" customWidth="1"/>
    <col min="11778" max="11778" width="12.42578125" style="579" bestFit="1" customWidth="1"/>
    <col min="11779" max="11779" width="9.140625" style="579"/>
    <col min="11780" max="11780" width="21.7109375" style="579" customWidth="1"/>
    <col min="11781" max="11782" width="13.85546875" style="579" bestFit="1" customWidth="1"/>
    <col min="11783" max="11783" width="5.42578125" style="579" customWidth="1"/>
    <col min="11784" max="11784" width="0" style="579" hidden="1" customWidth="1"/>
    <col min="11785" max="11785" width="24.140625" style="579" customWidth="1"/>
    <col min="11786" max="11786" width="0" style="579" hidden="1" customWidth="1"/>
    <col min="11787" max="11787" width="27.5703125" style="579" customWidth="1"/>
    <col min="11788" max="11788" width="0" style="579" hidden="1" customWidth="1"/>
    <col min="11789" max="11789" width="20" style="579" customWidth="1"/>
    <col min="11790" max="11790" width="13.7109375" style="579" bestFit="1" customWidth="1"/>
    <col min="11791" max="11791" width="18" style="579" customWidth="1"/>
    <col min="11792" max="11792" width="9.140625" style="579"/>
    <col min="11793" max="11793" width="11.7109375" style="579" bestFit="1" customWidth="1"/>
    <col min="11794" max="12032" width="9.140625" style="579"/>
    <col min="12033" max="12033" width="1.85546875" style="579" customWidth="1"/>
    <col min="12034" max="12034" width="12.42578125" style="579" bestFit="1" customWidth="1"/>
    <col min="12035" max="12035" width="9.140625" style="579"/>
    <col min="12036" max="12036" width="21.7109375" style="579" customWidth="1"/>
    <col min="12037" max="12038" width="13.85546875" style="579" bestFit="1" customWidth="1"/>
    <col min="12039" max="12039" width="5.42578125" style="579" customWidth="1"/>
    <col min="12040" max="12040" width="0" style="579" hidden="1" customWidth="1"/>
    <col min="12041" max="12041" width="24.140625" style="579" customWidth="1"/>
    <col min="12042" max="12042" width="0" style="579" hidden="1" customWidth="1"/>
    <col min="12043" max="12043" width="27.5703125" style="579" customWidth="1"/>
    <col min="12044" max="12044" width="0" style="579" hidden="1" customWidth="1"/>
    <col min="12045" max="12045" width="20" style="579" customWidth="1"/>
    <col min="12046" max="12046" width="13.7109375" style="579" bestFit="1" customWidth="1"/>
    <col min="12047" max="12047" width="18" style="579" customWidth="1"/>
    <col min="12048" max="12048" width="9.140625" style="579"/>
    <col min="12049" max="12049" width="11.7109375" style="579" bestFit="1" customWidth="1"/>
    <col min="12050" max="12288" width="9.140625" style="579"/>
    <col min="12289" max="12289" width="1.85546875" style="579" customWidth="1"/>
    <col min="12290" max="12290" width="12.42578125" style="579" bestFit="1" customWidth="1"/>
    <col min="12291" max="12291" width="9.140625" style="579"/>
    <col min="12292" max="12292" width="21.7109375" style="579" customWidth="1"/>
    <col min="12293" max="12294" width="13.85546875" style="579" bestFit="1" customWidth="1"/>
    <col min="12295" max="12295" width="5.42578125" style="579" customWidth="1"/>
    <col min="12296" max="12296" width="0" style="579" hidden="1" customWidth="1"/>
    <col min="12297" max="12297" width="24.140625" style="579" customWidth="1"/>
    <col min="12298" max="12298" width="0" style="579" hidden="1" customWidth="1"/>
    <col min="12299" max="12299" width="27.5703125" style="579" customWidth="1"/>
    <col min="12300" max="12300" width="0" style="579" hidden="1" customWidth="1"/>
    <col min="12301" max="12301" width="20" style="579" customWidth="1"/>
    <col min="12302" max="12302" width="13.7109375" style="579" bestFit="1" customWidth="1"/>
    <col min="12303" max="12303" width="18" style="579" customWidth="1"/>
    <col min="12304" max="12304" width="9.140625" style="579"/>
    <col min="12305" max="12305" width="11.7109375" style="579" bestFit="1" customWidth="1"/>
    <col min="12306" max="12544" width="9.140625" style="579"/>
    <col min="12545" max="12545" width="1.85546875" style="579" customWidth="1"/>
    <col min="12546" max="12546" width="12.42578125" style="579" bestFit="1" customWidth="1"/>
    <col min="12547" max="12547" width="9.140625" style="579"/>
    <col min="12548" max="12548" width="21.7109375" style="579" customWidth="1"/>
    <col min="12549" max="12550" width="13.85546875" style="579" bestFit="1" customWidth="1"/>
    <col min="12551" max="12551" width="5.42578125" style="579" customWidth="1"/>
    <col min="12552" max="12552" width="0" style="579" hidden="1" customWidth="1"/>
    <col min="12553" max="12553" width="24.140625" style="579" customWidth="1"/>
    <col min="12554" max="12554" width="0" style="579" hidden="1" customWidth="1"/>
    <col min="12555" max="12555" width="27.5703125" style="579" customWidth="1"/>
    <col min="12556" max="12556" width="0" style="579" hidden="1" customWidth="1"/>
    <col min="12557" max="12557" width="20" style="579" customWidth="1"/>
    <col min="12558" max="12558" width="13.7109375" style="579" bestFit="1" customWidth="1"/>
    <col min="12559" max="12559" width="18" style="579" customWidth="1"/>
    <col min="12560" max="12560" width="9.140625" style="579"/>
    <col min="12561" max="12561" width="11.7109375" style="579" bestFit="1" customWidth="1"/>
    <col min="12562" max="12800" width="9.140625" style="579"/>
    <col min="12801" max="12801" width="1.85546875" style="579" customWidth="1"/>
    <col min="12802" max="12802" width="12.42578125" style="579" bestFit="1" customWidth="1"/>
    <col min="12803" max="12803" width="9.140625" style="579"/>
    <col min="12804" max="12804" width="21.7109375" style="579" customWidth="1"/>
    <col min="12805" max="12806" width="13.85546875" style="579" bestFit="1" customWidth="1"/>
    <col min="12807" max="12807" width="5.42578125" style="579" customWidth="1"/>
    <col min="12808" max="12808" width="0" style="579" hidden="1" customWidth="1"/>
    <col min="12809" max="12809" width="24.140625" style="579" customWidth="1"/>
    <col min="12810" max="12810" width="0" style="579" hidden="1" customWidth="1"/>
    <col min="12811" max="12811" width="27.5703125" style="579" customWidth="1"/>
    <col min="12812" max="12812" width="0" style="579" hidden="1" customWidth="1"/>
    <col min="12813" max="12813" width="20" style="579" customWidth="1"/>
    <col min="12814" max="12814" width="13.7109375" style="579" bestFit="1" customWidth="1"/>
    <col min="12815" max="12815" width="18" style="579" customWidth="1"/>
    <col min="12816" max="12816" width="9.140625" style="579"/>
    <col min="12817" max="12817" width="11.7109375" style="579" bestFit="1" customWidth="1"/>
    <col min="12818" max="13056" width="9.140625" style="579"/>
    <col min="13057" max="13057" width="1.85546875" style="579" customWidth="1"/>
    <col min="13058" max="13058" width="12.42578125" style="579" bestFit="1" customWidth="1"/>
    <col min="13059" max="13059" width="9.140625" style="579"/>
    <col min="13060" max="13060" width="21.7109375" style="579" customWidth="1"/>
    <col min="13061" max="13062" width="13.85546875" style="579" bestFit="1" customWidth="1"/>
    <col min="13063" max="13063" width="5.42578125" style="579" customWidth="1"/>
    <col min="13064" max="13064" width="0" style="579" hidden="1" customWidth="1"/>
    <col min="13065" max="13065" width="24.140625" style="579" customWidth="1"/>
    <col min="13066" max="13066" width="0" style="579" hidden="1" customWidth="1"/>
    <col min="13067" max="13067" width="27.5703125" style="579" customWidth="1"/>
    <col min="13068" max="13068" width="0" style="579" hidden="1" customWidth="1"/>
    <col min="13069" max="13069" width="20" style="579" customWidth="1"/>
    <col min="13070" max="13070" width="13.7109375" style="579" bestFit="1" customWidth="1"/>
    <col min="13071" max="13071" width="18" style="579" customWidth="1"/>
    <col min="13072" max="13072" width="9.140625" style="579"/>
    <col min="13073" max="13073" width="11.7109375" style="579" bestFit="1" customWidth="1"/>
    <col min="13074" max="13312" width="9.140625" style="579"/>
    <col min="13313" max="13313" width="1.85546875" style="579" customWidth="1"/>
    <col min="13314" max="13314" width="12.42578125" style="579" bestFit="1" customWidth="1"/>
    <col min="13315" max="13315" width="9.140625" style="579"/>
    <col min="13316" max="13316" width="21.7109375" style="579" customWidth="1"/>
    <col min="13317" max="13318" width="13.85546875" style="579" bestFit="1" customWidth="1"/>
    <col min="13319" max="13319" width="5.42578125" style="579" customWidth="1"/>
    <col min="13320" max="13320" width="0" style="579" hidden="1" customWidth="1"/>
    <col min="13321" max="13321" width="24.140625" style="579" customWidth="1"/>
    <col min="13322" max="13322" width="0" style="579" hidden="1" customWidth="1"/>
    <col min="13323" max="13323" width="27.5703125" style="579" customWidth="1"/>
    <col min="13324" max="13324" width="0" style="579" hidden="1" customWidth="1"/>
    <col min="13325" max="13325" width="20" style="579" customWidth="1"/>
    <col min="13326" max="13326" width="13.7109375" style="579" bestFit="1" customWidth="1"/>
    <col min="13327" max="13327" width="18" style="579" customWidth="1"/>
    <col min="13328" max="13328" width="9.140625" style="579"/>
    <col min="13329" max="13329" width="11.7109375" style="579" bestFit="1" customWidth="1"/>
    <col min="13330" max="13568" width="9.140625" style="579"/>
    <col min="13569" max="13569" width="1.85546875" style="579" customWidth="1"/>
    <col min="13570" max="13570" width="12.42578125" style="579" bestFit="1" customWidth="1"/>
    <col min="13571" max="13571" width="9.140625" style="579"/>
    <col min="13572" max="13572" width="21.7109375" style="579" customWidth="1"/>
    <col min="13573" max="13574" width="13.85546875" style="579" bestFit="1" customWidth="1"/>
    <col min="13575" max="13575" width="5.42578125" style="579" customWidth="1"/>
    <col min="13576" max="13576" width="0" style="579" hidden="1" customWidth="1"/>
    <col min="13577" max="13577" width="24.140625" style="579" customWidth="1"/>
    <col min="13578" max="13578" width="0" style="579" hidden="1" customWidth="1"/>
    <col min="13579" max="13579" width="27.5703125" style="579" customWidth="1"/>
    <col min="13580" max="13580" width="0" style="579" hidden="1" customWidth="1"/>
    <col min="13581" max="13581" width="20" style="579" customWidth="1"/>
    <col min="13582" max="13582" width="13.7109375" style="579" bestFit="1" customWidth="1"/>
    <col min="13583" max="13583" width="18" style="579" customWidth="1"/>
    <col min="13584" max="13584" width="9.140625" style="579"/>
    <col min="13585" max="13585" width="11.7109375" style="579" bestFit="1" customWidth="1"/>
    <col min="13586" max="13824" width="9.140625" style="579"/>
    <col min="13825" max="13825" width="1.85546875" style="579" customWidth="1"/>
    <col min="13826" max="13826" width="12.42578125" style="579" bestFit="1" customWidth="1"/>
    <col min="13827" max="13827" width="9.140625" style="579"/>
    <col min="13828" max="13828" width="21.7109375" style="579" customWidth="1"/>
    <col min="13829" max="13830" width="13.85546875" style="579" bestFit="1" customWidth="1"/>
    <col min="13831" max="13831" width="5.42578125" style="579" customWidth="1"/>
    <col min="13832" max="13832" width="0" style="579" hidden="1" customWidth="1"/>
    <col min="13833" max="13833" width="24.140625" style="579" customWidth="1"/>
    <col min="13834" max="13834" width="0" style="579" hidden="1" customWidth="1"/>
    <col min="13835" max="13835" width="27.5703125" style="579" customWidth="1"/>
    <col min="13836" max="13836" width="0" style="579" hidden="1" customWidth="1"/>
    <col min="13837" max="13837" width="20" style="579" customWidth="1"/>
    <col min="13838" max="13838" width="13.7109375" style="579" bestFit="1" customWidth="1"/>
    <col min="13839" max="13839" width="18" style="579" customWidth="1"/>
    <col min="13840" max="13840" width="9.140625" style="579"/>
    <col min="13841" max="13841" width="11.7109375" style="579" bestFit="1" customWidth="1"/>
    <col min="13842" max="14080" width="9.140625" style="579"/>
    <col min="14081" max="14081" width="1.85546875" style="579" customWidth="1"/>
    <col min="14082" max="14082" width="12.42578125" style="579" bestFit="1" customWidth="1"/>
    <col min="14083" max="14083" width="9.140625" style="579"/>
    <col min="14084" max="14084" width="21.7109375" style="579" customWidth="1"/>
    <col min="14085" max="14086" width="13.85546875" style="579" bestFit="1" customWidth="1"/>
    <col min="14087" max="14087" width="5.42578125" style="579" customWidth="1"/>
    <col min="14088" max="14088" width="0" style="579" hidden="1" customWidth="1"/>
    <col min="14089" max="14089" width="24.140625" style="579" customWidth="1"/>
    <col min="14090" max="14090" width="0" style="579" hidden="1" customWidth="1"/>
    <col min="14091" max="14091" width="27.5703125" style="579" customWidth="1"/>
    <col min="14092" max="14092" width="0" style="579" hidden="1" customWidth="1"/>
    <col min="14093" max="14093" width="20" style="579" customWidth="1"/>
    <col min="14094" max="14094" width="13.7109375" style="579" bestFit="1" customWidth="1"/>
    <col min="14095" max="14095" width="18" style="579" customWidth="1"/>
    <col min="14096" max="14096" width="9.140625" style="579"/>
    <col min="14097" max="14097" width="11.7109375" style="579" bestFit="1" customWidth="1"/>
    <col min="14098" max="14336" width="9.140625" style="579"/>
    <col min="14337" max="14337" width="1.85546875" style="579" customWidth="1"/>
    <col min="14338" max="14338" width="12.42578125" style="579" bestFit="1" customWidth="1"/>
    <col min="14339" max="14339" width="9.140625" style="579"/>
    <col min="14340" max="14340" width="21.7109375" style="579" customWidth="1"/>
    <col min="14341" max="14342" width="13.85546875" style="579" bestFit="1" customWidth="1"/>
    <col min="14343" max="14343" width="5.42578125" style="579" customWidth="1"/>
    <col min="14344" max="14344" width="0" style="579" hidden="1" customWidth="1"/>
    <col min="14345" max="14345" width="24.140625" style="579" customWidth="1"/>
    <col min="14346" max="14346" width="0" style="579" hidden="1" customWidth="1"/>
    <col min="14347" max="14347" width="27.5703125" style="579" customWidth="1"/>
    <col min="14348" max="14348" width="0" style="579" hidden="1" customWidth="1"/>
    <col min="14349" max="14349" width="20" style="579" customWidth="1"/>
    <col min="14350" max="14350" width="13.7109375" style="579" bestFit="1" customWidth="1"/>
    <col min="14351" max="14351" width="18" style="579" customWidth="1"/>
    <col min="14352" max="14352" width="9.140625" style="579"/>
    <col min="14353" max="14353" width="11.7109375" style="579" bestFit="1" customWidth="1"/>
    <col min="14354" max="14592" width="9.140625" style="579"/>
    <col min="14593" max="14593" width="1.85546875" style="579" customWidth="1"/>
    <col min="14594" max="14594" width="12.42578125" style="579" bestFit="1" customWidth="1"/>
    <col min="14595" max="14595" width="9.140625" style="579"/>
    <col min="14596" max="14596" width="21.7109375" style="579" customWidth="1"/>
    <col min="14597" max="14598" width="13.85546875" style="579" bestFit="1" customWidth="1"/>
    <col min="14599" max="14599" width="5.42578125" style="579" customWidth="1"/>
    <col min="14600" max="14600" width="0" style="579" hidden="1" customWidth="1"/>
    <col min="14601" max="14601" width="24.140625" style="579" customWidth="1"/>
    <col min="14602" max="14602" width="0" style="579" hidden="1" customWidth="1"/>
    <col min="14603" max="14603" width="27.5703125" style="579" customWidth="1"/>
    <col min="14604" max="14604" width="0" style="579" hidden="1" customWidth="1"/>
    <col min="14605" max="14605" width="20" style="579" customWidth="1"/>
    <col min="14606" max="14606" width="13.7109375" style="579" bestFit="1" customWidth="1"/>
    <col min="14607" max="14607" width="18" style="579" customWidth="1"/>
    <col min="14608" max="14608" width="9.140625" style="579"/>
    <col min="14609" max="14609" width="11.7109375" style="579" bestFit="1" customWidth="1"/>
    <col min="14610" max="14848" width="9.140625" style="579"/>
    <col min="14849" max="14849" width="1.85546875" style="579" customWidth="1"/>
    <col min="14850" max="14850" width="12.42578125" style="579" bestFit="1" customWidth="1"/>
    <col min="14851" max="14851" width="9.140625" style="579"/>
    <col min="14852" max="14852" width="21.7109375" style="579" customWidth="1"/>
    <col min="14853" max="14854" width="13.85546875" style="579" bestFit="1" customWidth="1"/>
    <col min="14855" max="14855" width="5.42578125" style="579" customWidth="1"/>
    <col min="14856" max="14856" width="0" style="579" hidden="1" customWidth="1"/>
    <col min="14857" max="14857" width="24.140625" style="579" customWidth="1"/>
    <col min="14858" max="14858" width="0" style="579" hidden="1" customWidth="1"/>
    <col min="14859" max="14859" width="27.5703125" style="579" customWidth="1"/>
    <col min="14860" max="14860" width="0" style="579" hidden="1" customWidth="1"/>
    <col min="14861" max="14861" width="20" style="579" customWidth="1"/>
    <col min="14862" max="14862" width="13.7109375" style="579" bestFit="1" customWidth="1"/>
    <col min="14863" max="14863" width="18" style="579" customWidth="1"/>
    <col min="14864" max="14864" width="9.140625" style="579"/>
    <col min="14865" max="14865" width="11.7109375" style="579" bestFit="1" customWidth="1"/>
    <col min="14866" max="15104" width="9.140625" style="579"/>
    <col min="15105" max="15105" width="1.85546875" style="579" customWidth="1"/>
    <col min="15106" max="15106" width="12.42578125" style="579" bestFit="1" customWidth="1"/>
    <col min="15107" max="15107" width="9.140625" style="579"/>
    <col min="15108" max="15108" width="21.7109375" style="579" customWidth="1"/>
    <col min="15109" max="15110" width="13.85546875" style="579" bestFit="1" customWidth="1"/>
    <col min="15111" max="15111" width="5.42578125" style="579" customWidth="1"/>
    <col min="15112" max="15112" width="0" style="579" hidden="1" customWidth="1"/>
    <col min="15113" max="15113" width="24.140625" style="579" customWidth="1"/>
    <col min="15114" max="15114" width="0" style="579" hidden="1" customWidth="1"/>
    <col min="15115" max="15115" width="27.5703125" style="579" customWidth="1"/>
    <col min="15116" max="15116" width="0" style="579" hidden="1" customWidth="1"/>
    <col min="15117" max="15117" width="20" style="579" customWidth="1"/>
    <col min="15118" max="15118" width="13.7109375" style="579" bestFit="1" customWidth="1"/>
    <col min="15119" max="15119" width="18" style="579" customWidth="1"/>
    <col min="15120" max="15120" width="9.140625" style="579"/>
    <col min="15121" max="15121" width="11.7109375" style="579" bestFit="1" customWidth="1"/>
    <col min="15122" max="15360" width="9.140625" style="579"/>
    <col min="15361" max="15361" width="1.85546875" style="579" customWidth="1"/>
    <col min="15362" max="15362" width="12.42578125" style="579" bestFit="1" customWidth="1"/>
    <col min="15363" max="15363" width="9.140625" style="579"/>
    <col min="15364" max="15364" width="21.7109375" style="579" customWidth="1"/>
    <col min="15365" max="15366" width="13.85546875" style="579" bestFit="1" customWidth="1"/>
    <col min="15367" max="15367" width="5.42578125" style="579" customWidth="1"/>
    <col min="15368" max="15368" width="0" style="579" hidden="1" customWidth="1"/>
    <col min="15369" max="15369" width="24.140625" style="579" customWidth="1"/>
    <col min="15370" max="15370" width="0" style="579" hidden="1" customWidth="1"/>
    <col min="15371" max="15371" width="27.5703125" style="579" customWidth="1"/>
    <col min="15372" max="15372" width="0" style="579" hidden="1" customWidth="1"/>
    <col min="15373" max="15373" width="20" style="579" customWidth="1"/>
    <col min="15374" max="15374" width="13.7109375" style="579" bestFit="1" customWidth="1"/>
    <col min="15375" max="15375" width="18" style="579" customWidth="1"/>
    <col min="15376" max="15376" width="9.140625" style="579"/>
    <col min="15377" max="15377" width="11.7109375" style="579" bestFit="1" customWidth="1"/>
    <col min="15378" max="15616" width="9.140625" style="579"/>
    <col min="15617" max="15617" width="1.85546875" style="579" customWidth="1"/>
    <col min="15618" max="15618" width="12.42578125" style="579" bestFit="1" customWidth="1"/>
    <col min="15619" max="15619" width="9.140625" style="579"/>
    <col min="15620" max="15620" width="21.7109375" style="579" customWidth="1"/>
    <col min="15621" max="15622" width="13.85546875" style="579" bestFit="1" customWidth="1"/>
    <col min="15623" max="15623" width="5.42578125" style="579" customWidth="1"/>
    <col min="15624" max="15624" width="0" style="579" hidden="1" customWidth="1"/>
    <col min="15625" max="15625" width="24.140625" style="579" customWidth="1"/>
    <col min="15626" max="15626" width="0" style="579" hidden="1" customWidth="1"/>
    <col min="15627" max="15627" width="27.5703125" style="579" customWidth="1"/>
    <col min="15628" max="15628" width="0" style="579" hidden="1" customWidth="1"/>
    <col min="15629" max="15629" width="20" style="579" customWidth="1"/>
    <col min="15630" max="15630" width="13.7109375" style="579" bestFit="1" customWidth="1"/>
    <col min="15631" max="15631" width="18" style="579" customWidth="1"/>
    <col min="15632" max="15632" width="9.140625" style="579"/>
    <col min="15633" max="15633" width="11.7109375" style="579" bestFit="1" customWidth="1"/>
    <col min="15634" max="15872" width="9.140625" style="579"/>
    <col min="15873" max="15873" width="1.85546875" style="579" customWidth="1"/>
    <col min="15874" max="15874" width="12.42578125" style="579" bestFit="1" customWidth="1"/>
    <col min="15875" max="15875" width="9.140625" style="579"/>
    <col min="15876" max="15876" width="21.7109375" style="579" customWidth="1"/>
    <col min="15877" max="15878" width="13.85546875" style="579" bestFit="1" customWidth="1"/>
    <col min="15879" max="15879" width="5.42578125" style="579" customWidth="1"/>
    <col min="15880" max="15880" width="0" style="579" hidden="1" customWidth="1"/>
    <col min="15881" max="15881" width="24.140625" style="579" customWidth="1"/>
    <col min="15882" max="15882" width="0" style="579" hidden="1" customWidth="1"/>
    <col min="15883" max="15883" width="27.5703125" style="579" customWidth="1"/>
    <col min="15884" max="15884" width="0" style="579" hidden="1" customWidth="1"/>
    <col min="15885" max="15885" width="20" style="579" customWidth="1"/>
    <col min="15886" max="15886" width="13.7109375" style="579" bestFit="1" customWidth="1"/>
    <col min="15887" max="15887" width="18" style="579" customWidth="1"/>
    <col min="15888" max="15888" width="9.140625" style="579"/>
    <col min="15889" max="15889" width="11.7109375" style="579" bestFit="1" customWidth="1"/>
    <col min="15890" max="16128" width="9.140625" style="579"/>
    <col min="16129" max="16129" width="1.85546875" style="579" customWidth="1"/>
    <col min="16130" max="16130" width="12.42578125" style="579" bestFit="1" customWidth="1"/>
    <col min="16131" max="16131" width="9.140625" style="579"/>
    <col min="16132" max="16132" width="21.7109375" style="579" customWidth="1"/>
    <col min="16133" max="16134" width="13.85546875" style="579" bestFit="1" customWidth="1"/>
    <col min="16135" max="16135" width="5.42578125" style="579" customWidth="1"/>
    <col min="16136" max="16136" width="0" style="579" hidden="1" customWidth="1"/>
    <col min="16137" max="16137" width="24.140625" style="579" customWidth="1"/>
    <col min="16138" max="16138" width="0" style="579" hidden="1" customWidth="1"/>
    <col min="16139" max="16139" width="27.5703125" style="579" customWidth="1"/>
    <col min="16140" max="16140" width="0" style="579" hidden="1" customWidth="1"/>
    <col min="16141" max="16141" width="20" style="579" customWidth="1"/>
    <col min="16142" max="16142" width="13.7109375" style="579" bestFit="1" customWidth="1"/>
    <col min="16143" max="16143" width="18" style="579" customWidth="1"/>
    <col min="16144" max="16144" width="9.140625" style="579"/>
    <col min="16145" max="16145" width="11.7109375" style="579" bestFit="1" customWidth="1"/>
    <col min="16146" max="16384" width="9.140625" style="579"/>
  </cols>
  <sheetData>
    <row r="1" spans="2:20" ht="13.5" thickBot="1" x14ac:dyDescent="0.25">
      <c r="K1" s="619"/>
    </row>
    <row r="2" spans="2:20" x14ac:dyDescent="0.2">
      <c r="B2" s="1319" t="s">
        <v>829</v>
      </c>
      <c r="C2" s="1320"/>
      <c r="D2" s="1321"/>
      <c r="E2" s="580"/>
      <c r="F2" s="580"/>
      <c r="G2" s="580"/>
      <c r="H2" s="580"/>
      <c r="I2" s="581"/>
      <c r="J2" s="580"/>
      <c r="K2" s="582" t="s">
        <v>741</v>
      </c>
    </row>
    <row r="3" spans="2:20" x14ac:dyDescent="0.2">
      <c r="B3" s="583" t="s">
        <v>830</v>
      </c>
      <c r="D3" s="584"/>
      <c r="I3" s="594"/>
      <c r="K3" s="585"/>
    </row>
    <row r="4" spans="2:20" x14ac:dyDescent="0.2">
      <c r="B4" s="586" t="s">
        <v>832</v>
      </c>
      <c r="D4" s="584"/>
      <c r="I4" s="594"/>
      <c r="K4" s="661" t="s">
        <v>744</v>
      </c>
    </row>
    <row r="5" spans="2:20" x14ac:dyDescent="0.2">
      <c r="B5" s="586" t="s">
        <v>751</v>
      </c>
      <c r="D5" s="584"/>
      <c r="E5" s="1322" t="s">
        <v>861</v>
      </c>
      <c r="F5" s="1317"/>
      <c r="G5" s="1317"/>
      <c r="H5" s="1317"/>
      <c r="I5" s="1318"/>
      <c r="K5" s="661" t="s">
        <v>747</v>
      </c>
    </row>
    <row r="6" spans="2:20" x14ac:dyDescent="0.2">
      <c r="B6" s="587"/>
      <c r="C6" s="588"/>
      <c r="D6" s="589"/>
      <c r="E6" s="1322" t="s">
        <v>862</v>
      </c>
      <c r="F6" s="1324"/>
      <c r="G6" s="1324"/>
      <c r="H6" s="1324"/>
      <c r="I6" s="1337"/>
      <c r="K6" s="661" t="s">
        <v>750</v>
      </c>
    </row>
    <row r="7" spans="2:20" x14ac:dyDescent="0.2">
      <c r="B7" s="591" t="s">
        <v>756</v>
      </c>
      <c r="C7" s="592"/>
      <c r="D7" s="593"/>
      <c r="I7" s="594"/>
      <c r="K7" s="590"/>
    </row>
    <row r="8" spans="2:20" x14ac:dyDescent="0.2">
      <c r="B8" s="586"/>
      <c r="D8" s="584"/>
      <c r="E8" s="1317" t="s">
        <v>1049</v>
      </c>
      <c r="F8" s="1317"/>
      <c r="G8" s="1317"/>
      <c r="H8" s="1317"/>
      <c r="I8" s="1318"/>
      <c r="K8" s="590"/>
    </row>
    <row r="9" spans="2:20" x14ac:dyDescent="0.2">
      <c r="B9" s="595" t="s">
        <v>61</v>
      </c>
      <c r="D9" s="584"/>
      <c r="I9" s="594"/>
      <c r="K9" s="585"/>
    </row>
    <row r="10" spans="2:20" ht="13.5" thickBot="1" x14ac:dyDescent="0.25">
      <c r="B10" s="596"/>
      <c r="C10" s="597"/>
      <c r="D10" s="598"/>
      <c r="E10" s="597"/>
      <c r="F10" s="597"/>
      <c r="G10" s="597"/>
      <c r="H10" s="597"/>
      <c r="I10" s="599"/>
      <c r="J10" s="597"/>
      <c r="K10" s="662"/>
    </row>
    <row r="11" spans="2:20" ht="13.5" hidden="1" thickBot="1" x14ac:dyDescent="0.25">
      <c r="B11" s="596"/>
      <c r="C11" s="597"/>
      <c r="D11" s="599"/>
      <c r="E11" s="601"/>
      <c r="F11" s="597"/>
      <c r="G11" s="597"/>
      <c r="H11" s="597"/>
      <c r="I11" s="599"/>
      <c r="J11" s="597"/>
      <c r="K11" s="602"/>
    </row>
    <row r="12" spans="2:20" ht="39" thickBot="1" x14ac:dyDescent="0.25">
      <c r="B12" s="596"/>
      <c r="C12" s="597"/>
      <c r="D12" s="597"/>
      <c r="E12" s="597"/>
      <c r="F12" s="597"/>
      <c r="G12" s="598"/>
      <c r="I12" s="663" t="s">
        <v>836</v>
      </c>
      <c r="J12" s="803"/>
      <c r="K12" s="607" t="s">
        <v>837</v>
      </c>
    </row>
    <row r="13" spans="2:20" ht="13.5" hidden="1" thickBot="1" x14ac:dyDescent="0.25">
      <c r="B13" s="586"/>
      <c r="I13" s="609"/>
      <c r="J13" s="610"/>
      <c r="K13" s="802"/>
    </row>
    <row r="14" spans="2:20" ht="13.5" hidden="1" thickBot="1" x14ac:dyDescent="0.25">
      <c r="B14" s="586"/>
      <c r="I14" s="611"/>
      <c r="J14" s="612"/>
      <c r="K14" s="675"/>
    </row>
    <row r="15" spans="2:20" s="619" customFormat="1" ht="20.100000000000001" customHeight="1" x14ac:dyDescent="0.2">
      <c r="B15" s="613" t="s">
        <v>863</v>
      </c>
      <c r="C15" s="664"/>
      <c r="D15" s="664"/>
      <c r="E15" s="664"/>
      <c r="F15" s="664"/>
      <c r="G15" s="665"/>
      <c r="H15" s="666"/>
      <c r="I15" s="667">
        <v>912443996.66999996</v>
      </c>
      <c r="J15" s="1260">
        <v>11151814583.68</v>
      </c>
      <c r="K15" s="1267">
        <f>I38</f>
        <v>919914376.22000003</v>
      </c>
      <c r="M15" s="620"/>
      <c r="N15" s="721"/>
      <c r="Q15" s="620"/>
      <c r="S15" s="738"/>
      <c r="T15" s="738"/>
    </row>
    <row r="16" spans="2:20" s="619" customFormat="1" ht="20.100000000000001" customHeight="1" x14ac:dyDescent="0.2">
      <c r="B16" s="640" t="s">
        <v>864</v>
      </c>
      <c r="C16" s="668"/>
      <c r="D16" s="668"/>
      <c r="E16" s="668"/>
      <c r="F16" s="668"/>
      <c r="G16" s="669"/>
      <c r="I16" s="670">
        <f>SUM(I17:I26)</f>
        <v>386079285.53000003</v>
      </c>
      <c r="J16" s="1261">
        <f>SUM(J17:J26)</f>
        <v>268172770.27000004</v>
      </c>
      <c r="K16" s="1268">
        <f>SUM(K17:K26)</f>
        <v>616032549.25999999</v>
      </c>
      <c r="M16" s="620"/>
      <c r="N16" s="1094"/>
      <c r="Q16" s="620"/>
      <c r="S16" s="738"/>
      <c r="T16" s="738"/>
    </row>
    <row r="17" spans="2:20" ht="20.100000000000001" customHeight="1" x14ac:dyDescent="0.2">
      <c r="B17" s="587" t="s">
        <v>865</v>
      </c>
      <c r="C17" s="588"/>
      <c r="D17" s="588"/>
      <c r="E17" s="588"/>
      <c r="F17" s="588"/>
      <c r="G17" s="589"/>
      <c r="I17" s="673">
        <v>0</v>
      </c>
      <c r="J17" s="1262"/>
      <c r="K17" s="1269">
        <v>0</v>
      </c>
      <c r="L17" s="579">
        <v>0</v>
      </c>
      <c r="M17" s="620"/>
      <c r="Q17" s="620"/>
      <c r="S17" s="738"/>
      <c r="T17" s="738"/>
    </row>
    <row r="18" spans="2:20" ht="20.100000000000001" customHeight="1" x14ac:dyDescent="0.2">
      <c r="B18" s="587" t="s">
        <v>866</v>
      </c>
      <c r="C18" s="588"/>
      <c r="D18" s="588"/>
      <c r="E18" s="588"/>
      <c r="F18" s="588"/>
      <c r="G18" s="589"/>
      <c r="I18" s="673">
        <f>269492971.35+166659.19</f>
        <v>269659630.54000002</v>
      </c>
      <c r="J18" s="1262">
        <v>238930678.65000001</v>
      </c>
      <c r="K18" s="1802">
        <f>324367520.89+37850.4</f>
        <v>324405371.28999996</v>
      </c>
      <c r="M18" s="620"/>
      <c r="O18" s="1309"/>
      <c r="Q18" s="620"/>
    </row>
    <row r="19" spans="2:20" ht="16.5" customHeight="1" x14ac:dyDescent="0.2">
      <c r="B19" s="1334" t="s">
        <v>867</v>
      </c>
      <c r="C19" s="1335"/>
      <c r="D19" s="1335"/>
      <c r="E19" s="1335"/>
      <c r="F19" s="1335"/>
      <c r="G19" s="1336"/>
      <c r="I19" s="673">
        <v>0</v>
      </c>
      <c r="J19" s="1262">
        <v>0</v>
      </c>
      <c r="K19" s="1269">
        <v>0</v>
      </c>
      <c r="M19" s="620"/>
      <c r="Q19" s="620"/>
    </row>
    <row r="20" spans="2:20" ht="20.100000000000001" customHeight="1" x14ac:dyDescent="0.2">
      <c r="B20" s="587" t="s">
        <v>868</v>
      </c>
      <c r="C20" s="588"/>
      <c r="D20" s="588"/>
      <c r="E20" s="588"/>
      <c r="F20" s="588"/>
      <c r="G20" s="589"/>
      <c r="I20" s="673">
        <v>76540794.060000002</v>
      </c>
      <c r="J20" s="1262">
        <v>29201354.079999998</v>
      </c>
      <c r="K20" s="1269">
        <v>73818477.360000014</v>
      </c>
      <c r="M20" s="620"/>
      <c r="Q20" s="620"/>
    </row>
    <row r="21" spans="2:20" ht="20.100000000000001" customHeight="1" x14ac:dyDescent="0.2">
      <c r="B21" s="587" t="s">
        <v>869</v>
      </c>
      <c r="C21" s="588"/>
      <c r="D21" s="588"/>
      <c r="E21" s="588"/>
      <c r="F21" s="588"/>
      <c r="G21" s="589"/>
      <c r="I21" s="673">
        <v>0</v>
      </c>
      <c r="J21" s="1262"/>
      <c r="K21" s="1269">
        <v>0</v>
      </c>
      <c r="L21" s="579">
        <v>0</v>
      </c>
      <c r="M21" s="620"/>
      <c r="Q21" s="620"/>
    </row>
    <row r="22" spans="2:20" ht="29.25" customHeight="1" x14ac:dyDescent="0.2">
      <c r="B22" s="1334" t="s">
        <v>960</v>
      </c>
      <c r="C22" s="1335"/>
      <c r="D22" s="1335"/>
      <c r="E22" s="1335"/>
      <c r="F22" s="1335"/>
      <c r="G22" s="1336"/>
      <c r="I22" s="673">
        <v>545437.76</v>
      </c>
      <c r="J22" s="1262">
        <v>1324.02</v>
      </c>
      <c r="K22" s="1269">
        <v>0</v>
      </c>
      <c r="M22" s="620"/>
      <c r="Q22" s="620"/>
    </row>
    <row r="23" spans="2:20" ht="20.100000000000001" customHeight="1" x14ac:dyDescent="0.2">
      <c r="B23" s="587" t="s">
        <v>870</v>
      </c>
      <c r="C23" s="588"/>
      <c r="D23" s="588"/>
      <c r="E23" s="588"/>
      <c r="F23" s="588"/>
      <c r="G23" s="589"/>
      <c r="I23" s="673">
        <v>0</v>
      </c>
      <c r="J23" s="1262">
        <v>0</v>
      </c>
      <c r="K23" s="1269">
        <v>0</v>
      </c>
      <c r="L23" s="579">
        <v>0</v>
      </c>
      <c r="M23" s="620"/>
      <c r="Q23" s="620"/>
    </row>
    <row r="24" spans="2:20" ht="20.100000000000001" customHeight="1" x14ac:dyDescent="0.2">
      <c r="B24" s="587" t="s">
        <v>871</v>
      </c>
      <c r="C24" s="588"/>
      <c r="D24" s="588"/>
      <c r="E24" s="588"/>
      <c r="F24" s="588"/>
      <c r="G24" s="589"/>
      <c r="I24" s="673">
        <v>69040.490000000005</v>
      </c>
      <c r="J24" s="1262">
        <v>5902.96</v>
      </c>
      <c r="K24" s="1269">
        <v>63044.520000000004</v>
      </c>
      <c r="L24" s="579">
        <v>0</v>
      </c>
      <c r="M24" s="620"/>
      <c r="Q24" s="620"/>
    </row>
    <row r="25" spans="2:20" ht="20.100000000000001" customHeight="1" x14ac:dyDescent="0.2">
      <c r="B25" s="587" t="s">
        <v>872</v>
      </c>
      <c r="C25" s="588"/>
      <c r="D25" s="588"/>
      <c r="E25" s="588"/>
      <c r="F25" s="588"/>
      <c r="G25" s="589"/>
      <c r="I25" s="673">
        <v>0</v>
      </c>
      <c r="J25" s="1262">
        <v>0</v>
      </c>
      <c r="K25" s="1269">
        <v>0</v>
      </c>
      <c r="L25" s="579">
        <v>0</v>
      </c>
      <c r="M25" s="620"/>
      <c r="Q25" s="620"/>
    </row>
    <row r="26" spans="2:20" ht="20.100000000000001" customHeight="1" x14ac:dyDescent="0.2">
      <c r="B26" s="587" t="s">
        <v>873</v>
      </c>
      <c r="C26" s="588"/>
      <c r="D26" s="588"/>
      <c r="E26" s="588"/>
      <c r="F26" s="588"/>
      <c r="G26" s="589"/>
      <c r="I26" s="673">
        <v>39264382.68</v>
      </c>
      <c r="J26" s="1262">
        <v>33510.559999999998</v>
      </c>
      <c r="K26" s="1269">
        <f>215501730.64+2281775.85-37850.4</f>
        <v>217745656.08999997</v>
      </c>
      <c r="M26" s="620"/>
      <c r="Q26" s="620"/>
    </row>
    <row r="27" spans="2:20" s="619" customFormat="1" ht="20.100000000000001" customHeight="1" x14ac:dyDescent="0.2">
      <c r="B27" s="640" t="s">
        <v>874</v>
      </c>
      <c r="C27" s="668"/>
      <c r="D27" s="668"/>
      <c r="E27" s="668"/>
      <c r="F27" s="668"/>
      <c r="G27" s="669"/>
      <c r="I27" s="670">
        <f>SUM(I28:I37)</f>
        <v>378608905.97999996</v>
      </c>
      <c r="J27" s="1263">
        <f>SUM(J28:J35)</f>
        <v>10975779138.76</v>
      </c>
      <c r="K27" s="1270">
        <f>SUM(K28:K37)</f>
        <v>374463933.70999998</v>
      </c>
      <c r="M27" s="620"/>
      <c r="N27" s="721"/>
      <c r="Q27" s="620"/>
      <c r="S27" s="1099"/>
      <c r="T27" s="1099"/>
    </row>
    <row r="28" spans="2:20" ht="20.100000000000001" customHeight="1" x14ac:dyDescent="0.25">
      <c r="B28" s="587" t="s">
        <v>875</v>
      </c>
      <c r="C28" s="588"/>
      <c r="D28" s="588"/>
      <c r="E28" s="588"/>
      <c r="F28" s="588"/>
      <c r="G28" s="589"/>
      <c r="I28" s="1101">
        <f>175702439.82+4199.04-32317096.67</f>
        <v>143389542.19</v>
      </c>
      <c r="J28" s="1264">
        <v>115800626.38</v>
      </c>
      <c r="K28" s="1271">
        <f>109152605.76-23969748.31</f>
        <v>85182857.450000003</v>
      </c>
      <c r="M28" s="620"/>
      <c r="N28" s="804"/>
      <c r="Q28" s="620"/>
      <c r="S28" s="738"/>
      <c r="T28" s="738"/>
    </row>
    <row r="29" spans="2:20" ht="20.100000000000001" customHeight="1" x14ac:dyDescent="0.2">
      <c r="B29" s="587" t="s">
        <v>876</v>
      </c>
      <c r="C29" s="588"/>
      <c r="D29" s="588"/>
      <c r="G29" s="584"/>
      <c r="I29" s="1102">
        <v>22847977.93</v>
      </c>
      <c r="J29" s="1262">
        <v>0</v>
      </c>
      <c r="K29" s="1803">
        <v>25163351.280000001</v>
      </c>
      <c r="M29" s="789"/>
      <c r="Q29" s="620"/>
    </row>
    <row r="30" spans="2:20" ht="20.100000000000001" hidden="1" customHeight="1" x14ac:dyDescent="0.2">
      <c r="B30" s="586"/>
      <c r="E30" s="588"/>
      <c r="F30" s="588"/>
      <c r="G30" s="589"/>
      <c r="I30" s="1101">
        <v>0</v>
      </c>
      <c r="J30" s="1262">
        <v>0</v>
      </c>
      <c r="K30" s="1271">
        <v>0</v>
      </c>
      <c r="M30" s="620"/>
      <c r="Q30" s="620"/>
    </row>
    <row r="31" spans="2:20" ht="20.100000000000001" customHeight="1" x14ac:dyDescent="0.2">
      <c r="B31" s="637" t="s">
        <v>877</v>
      </c>
      <c r="C31" s="671"/>
      <c r="D31" s="671"/>
      <c r="E31" s="671"/>
      <c r="F31" s="671"/>
      <c r="G31" s="672"/>
      <c r="I31" s="1101">
        <v>0</v>
      </c>
      <c r="J31" s="1262">
        <v>100580053.5</v>
      </c>
      <c r="K31" s="1271">
        <v>0</v>
      </c>
      <c r="L31" s="579">
        <v>0</v>
      </c>
      <c r="M31" s="620"/>
      <c r="Q31" s="620"/>
    </row>
    <row r="32" spans="2:20" ht="20.100000000000001" customHeight="1" x14ac:dyDescent="0.2">
      <c r="B32" s="587" t="s">
        <v>878</v>
      </c>
      <c r="C32" s="588"/>
      <c r="D32" s="588"/>
      <c r="E32" s="588"/>
      <c r="F32" s="588"/>
      <c r="G32" s="589"/>
      <c r="I32" s="1101">
        <f>172725686.16</f>
        <v>172725686.16</v>
      </c>
      <c r="J32" s="1262"/>
      <c r="K32" s="1271">
        <v>210067844.02000001</v>
      </c>
      <c r="M32" s="620"/>
      <c r="O32" s="1308"/>
      <c r="Q32" s="620"/>
    </row>
    <row r="33" spans="2:22" ht="20.100000000000001" customHeight="1" x14ac:dyDescent="0.2">
      <c r="B33" s="587" t="s">
        <v>879</v>
      </c>
      <c r="C33" s="588"/>
      <c r="D33" s="588"/>
      <c r="E33" s="588"/>
      <c r="F33" s="588"/>
      <c r="G33" s="589"/>
      <c r="I33" s="1101">
        <v>0</v>
      </c>
      <c r="J33" s="1262">
        <v>13672806.65</v>
      </c>
      <c r="K33" s="1271">
        <v>0</v>
      </c>
      <c r="L33" s="579">
        <v>0</v>
      </c>
      <c r="M33" s="620"/>
      <c r="Q33" s="620"/>
      <c r="V33" s="1099"/>
    </row>
    <row r="34" spans="2:22" ht="27.95" customHeight="1" x14ac:dyDescent="0.2">
      <c r="B34" s="1334" t="s">
        <v>880</v>
      </c>
      <c r="C34" s="1335"/>
      <c r="D34" s="1335"/>
      <c r="E34" s="1335"/>
      <c r="F34" s="1335"/>
      <c r="G34" s="1336"/>
      <c r="I34" s="1101">
        <v>26290327.390000001</v>
      </c>
      <c r="J34" s="1262">
        <v>0</v>
      </c>
      <c r="K34" s="1271">
        <v>39849958.589999989</v>
      </c>
      <c r="M34" s="620"/>
      <c r="Q34" s="620"/>
    </row>
    <row r="35" spans="2:22" ht="33" customHeight="1" x14ac:dyDescent="0.2">
      <c r="B35" s="587" t="s">
        <v>881</v>
      </c>
      <c r="C35" s="588"/>
      <c r="D35" s="588"/>
      <c r="E35" s="588"/>
      <c r="F35" s="588"/>
      <c r="G35" s="589"/>
      <c r="I35" s="1101">
        <v>0</v>
      </c>
      <c r="J35" s="1262">
        <v>10745725652.23</v>
      </c>
      <c r="K35" s="1271">
        <v>0</v>
      </c>
      <c r="M35" s="620"/>
      <c r="Q35" s="620"/>
      <c r="V35" s="1099"/>
    </row>
    <row r="36" spans="2:22" ht="20.100000000000001" customHeight="1" x14ac:dyDescent="0.2">
      <c r="B36" s="587" t="s">
        <v>882</v>
      </c>
      <c r="C36" s="588"/>
      <c r="D36" s="588"/>
      <c r="E36" s="588"/>
      <c r="F36" s="588"/>
      <c r="G36" s="589"/>
      <c r="I36" s="1101">
        <v>0</v>
      </c>
      <c r="J36" s="1265">
        <f>J15+J16-J27</f>
        <v>444208215.19000053</v>
      </c>
      <c r="K36" s="1271">
        <v>0</v>
      </c>
      <c r="L36" s="579">
        <v>0</v>
      </c>
      <c r="M36" s="620"/>
      <c r="Q36" s="620"/>
    </row>
    <row r="37" spans="2:22" ht="20.100000000000001" customHeight="1" x14ac:dyDescent="0.2">
      <c r="B37" s="587" t="s">
        <v>883</v>
      </c>
      <c r="C37" s="588"/>
      <c r="D37" s="588"/>
      <c r="E37" s="588"/>
      <c r="F37" s="588"/>
      <c r="G37" s="589"/>
      <c r="I37" s="1101">
        <v>13355372.310000001</v>
      </c>
      <c r="J37" s="1265">
        <f>J38+J39</f>
        <v>-136435988.50999999</v>
      </c>
      <c r="K37" s="1271">
        <f>228725.1+11689421.42+555188.91+1726586.94</f>
        <v>14199922.369999999</v>
      </c>
      <c r="L37" s="579">
        <v>0</v>
      </c>
      <c r="M37" s="620"/>
      <c r="Q37" s="620"/>
    </row>
    <row r="38" spans="2:22" ht="20.100000000000001" customHeight="1" x14ac:dyDescent="0.25">
      <c r="B38" s="640" t="s">
        <v>884</v>
      </c>
      <c r="C38" s="668"/>
      <c r="D38" s="668"/>
      <c r="E38" s="668"/>
      <c r="F38" s="668"/>
      <c r="G38" s="669"/>
      <c r="H38" s="619"/>
      <c r="I38" s="670">
        <f>I15+I16-I27</f>
        <v>919914376.22000003</v>
      </c>
      <c r="J38" s="1262">
        <v>0</v>
      </c>
      <c r="K38" s="1268">
        <f>K15+K16-K27</f>
        <v>1161482991.77</v>
      </c>
      <c r="M38" s="789"/>
      <c r="O38" s="804"/>
      <c r="P38" s="620"/>
      <c r="Q38" s="620"/>
    </row>
    <row r="39" spans="2:22" s="619" customFormat="1" ht="20.100000000000001" customHeight="1" x14ac:dyDescent="0.2">
      <c r="B39" s="640" t="s">
        <v>885</v>
      </c>
      <c r="C39" s="668"/>
      <c r="D39" s="668"/>
      <c r="E39" s="668"/>
      <c r="F39" s="668"/>
      <c r="G39" s="669"/>
      <c r="I39" s="670">
        <f>I40+I41</f>
        <v>-85182857.450000003</v>
      </c>
      <c r="J39" s="1266">
        <v>-136435988.50999999</v>
      </c>
      <c r="K39" s="1268">
        <f>K40+K41</f>
        <v>-148458896.24999988</v>
      </c>
      <c r="M39" s="620"/>
      <c r="N39" s="721"/>
      <c r="Q39" s="620"/>
      <c r="S39" s="1099"/>
      <c r="T39" s="1099"/>
    </row>
    <row r="40" spans="2:22" s="619" customFormat="1" ht="20.100000000000001" customHeight="1" x14ac:dyDescent="0.2">
      <c r="B40" s="587" t="s">
        <v>886</v>
      </c>
      <c r="C40" s="588"/>
      <c r="D40" s="588"/>
      <c r="E40" s="588"/>
      <c r="F40" s="588"/>
      <c r="G40" s="589"/>
      <c r="H40" s="579"/>
      <c r="I40" s="673">
        <v>0</v>
      </c>
      <c r="J40" s="1262">
        <v>0</v>
      </c>
      <c r="K40" s="1269">
        <v>0</v>
      </c>
      <c r="M40" s="620"/>
      <c r="N40" s="721"/>
      <c r="O40" s="579"/>
      <c r="P40" s="579"/>
      <c r="Q40" s="620"/>
      <c r="S40" s="738"/>
      <c r="T40" s="738"/>
    </row>
    <row r="41" spans="2:22" ht="20.100000000000001" customHeight="1" x14ac:dyDescent="0.2">
      <c r="B41" s="587" t="s">
        <v>887</v>
      </c>
      <c r="C41" s="588"/>
      <c r="D41" s="588"/>
      <c r="E41" s="588"/>
      <c r="F41" s="588"/>
      <c r="G41" s="589"/>
      <c r="I41" s="673">
        <f>RZiS!I54</f>
        <v>-85182857.450000003</v>
      </c>
      <c r="J41" s="1263">
        <f>J36+J38-J39</f>
        <v>580644203.70000052</v>
      </c>
      <c r="K41" s="1269">
        <f>RZiS!K54</f>
        <v>-148458896.24999988</v>
      </c>
      <c r="L41" s="579">
        <v>0</v>
      </c>
      <c r="M41" s="620"/>
      <c r="Q41" s="620"/>
      <c r="S41" s="738"/>
      <c r="T41" s="738"/>
    </row>
    <row r="42" spans="2:22" ht="20.100000000000001" customHeight="1" thickBot="1" x14ac:dyDescent="0.25">
      <c r="B42" s="1340" t="s">
        <v>888</v>
      </c>
      <c r="C42" s="1341"/>
      <c r="D42" s="1341"/>
      <c r="E42" s="1341"/>
      <c r="F42" s="1341"/>
      <c r="G42" s="1342"/>
      <c r="H42" s="674"/>
      <c r="I42" s="673">
        <v>0</v>
      </c>
      <c r="J42" s="671"/>
      <c r="K42" s="1272">
        <v>0</v>
      </c>
      <c r="M42" s="620"/>
      <c r="O42" s="619"/>
      <c r="P42" s="619"/>
      <c r="Q42" s="620"/>
    </row>
    <row r="43" spans="2:22" ht="20.100000000000001" customHeight="1" thickBot="1" x14ac:dyDescent="0.25">
      <c r="B43" s="650" t="s">
        <v>889</v>
      </c>
      <c r="C43" s="676"/>
      <c r="D43" s="676"/>
      <c r="E43" s="676"/>
      <c r="F43" s="676"/>
      <c r="G43" s="676"/>
      <c r="H43" s="676"/>
      <c r="I43" s="678">
        <f>I38+I39-I42</f>
        <v>834731518.76999998</v>
      </c>
      <c r="J43" s="677">
        <v>0</v>
      </c>
      <c r="K43" s="678">
        <f>K38+K39-K42</f>
        <v>1013024095.5200001</v>
      </c>
      <c r="M43" s="620"/>
      <c r="O43" s="620"/>
      <c r="P43" s="619"/>
      <c r="Q43" s="620"/>
    </row>
    <row r="44" spans="2:22" s="619" customFormat="1" ht="20.100000000000001" customHeight="1" x14ac:dyDescent="0.2">
      <c r="I44" s="679"/>
      <c r="K44" s="620"/>
      <c r="L44" s="619">
        <v>0</v>
      </c>
      <c r="M44" s="620"/>
      <c r="N44" s="721"/>
      <c r="Q44" s="620"/>
      <c r="S44" s="1099"/>
      <c r="T44" s="1099"/>
    </row>
    <row r="45" spans="2:22" s="619" customFormat="1" ht="7.5" customHeight="1" x14ac:dyDescent="0.2">
      <c r="B45" s="656"/>
      <c r="E45" s="620"/>
      <c r="F45" s="680"/>
      <c r="G45" s="579"/>
      <c r="H45" s="579"/>
      <c r="I45" s="579"/>
      <c r="J45" s="579"/>
      <c r="K45" s="579"/>
      <c r="N45" s="721"/>
      <c r="O45" s="579"/>
      <c r="P45" s="579"/>
      <c r="Q45" s="625"/>
      <c r="S45" s="738"/>
      <c r="T45" s="738"/>
    </row>
    <row r="46" spans="2:22" hidden="1" x14ac:dyDescent="0.2">
      <c r="B46" s="579" t="s">
        <v>890</v>
      </c>
      <c r="S46" s="738"/>
      <c r="T46" s="738"/>
    </row>
    <row r="47" spans="2:22" hidden="1" x14ac:dyDescent="0.2"/>
    <row r="48" spans="2:22" hidden="1" x14ac:dyDescent="0.2">
      <c r="B48" s="588" t="s">
        <v>891</v>
      </c>
      <c r="C48" s="588"/>
      <c r="D48" s="588"/>
      <c r="E48" s="588"/>
      <c r="F48" s="588"/>
      <c r="G48" s="588"/>
      <c r="H48" s="588"/>
      <c r="I48" s="588"/>
      <c r="J48" s="588"/>
      <c r="K48" s="588"/>
    </row>
    <row r="49" spans="2:13" hidden="1" x14ac:dyDescent="0.2">
      <c r="B49" s="588" t="s">
        <v>201</v>
      </c>
      <c r="C49" s="588"/>
      <c r="D49" s="588"/>
      <c r="E49" s="588"/>
      <c r="F49" s="588"/>
      <c r="G49" s="588"/>
      <c r="H49" s="588"/>
      <c r="I49" s="588"/>
      <c r="J49" s="588"/>
      <c r="K49" s="588"/>
    </row>
    <row r="50" spans="2:13" hidden="1" x14ac:dyDescent="0.2">
      <c r="B50" s="671" t="s">
        <v>202</v>
      </c>
      <c r="C50" s="671"/>
      <c r="D50" s="671"/>
      <c r="E50" s="671"/>
      <c r="F50" s="671"/>
      <c r="G50" s="671"/>
      <c r="H50" s="671"/>
      <c r="I50" s="671"/>
      <c r="J50" s="671"/>
      <c r="K50" s="671"/>
    </row>
    <row r="51" spans="2:13" hidden="1" x14ac:dyDescent="0.2">
      <c r="B51" s="671" t="s">
        <v>203</v>
      </c>
      <c r="C51" s="671"/>
      <c r="D51" s="671"/>
      <c r="E51" s="671"/>
      <c r="F51" s="671"/>
      <c r="G51" s="671"/>
      <c r="H51" s="671"/>
      <c r="I51" s="671"/>
      <c r="J51" s="671"/>
      <c r="K51" s="671"/>
    </row>
    <row r="52" spans="2:13" hidden="1" x14ac:dyDescent="0.2">
      <c r="B52" s="671" t="s">
        <v>206</v>
      </c>
      <c r="C52" s="671"/>
      <c r="D52" s="671"/>
      <c r="E52" s="671"/>
      <c r="F52" s="671"/>
      <c r="G52" s="671"/>
      <c r="H52" s="671"/>
      <c r="I52" s="671"/>
      <c r="J52" s="671"/>
      <c r="K52" s="671"/>
    </row>
    <row r="53" spans="2:13" hidden="1" x14ac:dyDescent="0.2"/>
    <row r="54" spans="2:13" hidden="1" x14ac:dyDescent="0.2"/>
    <row r="56" spans="2:13" ht="33.75" customHeight="1" x14ac:dyDescent="0.2">
      <c r="B56" s="681"/>
      <c r="C56" s="625"/>
      <c r="D56" s="625"/>
      <c r="E56" s="625"/>
      <c r="F56" s="625"/>
      <c r="G56" s="625"/>
      <c r="H56" s="625"/>
      <c r="I56" s="625"/>
      <c r="J56" s="625"/>
      <c r="K56" s="1259"/>
      <c r="M56" s="1100"/>
    </row>
    <row r="57" spans="2:13" x14ac:dyDescent="0.2">
      <c r="B57" s="625"/>
      <c r="C57" s="1343"/>
      <c r="D57" s="1343"/>
      <c r="E57" s="625"/>
      <c r="F57" s="625"/>
      <c r="G57" s="625"/>
      <c r="H57" s="625"/>
      <c r="I57" s="625"/>
      <c r="J57" s="625"/>
      <c r="K57" s="625"/>
    </row>
    <row r="58" spans="2:13" x14ac:dyDescent="0.2">
      <c r="B58" s="625"/>
      <c r="C58" s="1338"/>
      <c r="D58" s="1338"/>
      <c r="E58" s="1338"/>
      <c r="F58" s="625"/>
      <c r="G58" s="1338"/>
      <c r="H58" s="1338"/>
      <c r="I58" s="1338"/>
      <c r="J58" s="625"/>
      <c r="K58" s="625"/>
    </row>
    <row r="59" spans="2:13" x14ac:dyDescent="0.2">
      <c r="B59" s="1344"/>
      <c r="C59" s="1344"/>
      <c r="D59" s="1344"/>
      <c r="E59" s="1338"/>
      <c r="F59" s="1338"/>
      <c r="G59" s="1338"/>
      <c r="H59" s="1338"/>
      <c r="I59" s="1338"/>
      <c r="J59" s="625"/>
      <c r="K59" s="625"/>
    </row>
    <row r="60" spans="2:13" x14ac:dyDescent="0.2">
      <c r="B60" s="1338"/>
      <c r="C60" s="1338"/>
      <c r="D60" s="1338"/>
      <c r="E60" s="625"/>
      <c r="F60" s="625"/>
      <c r="G60" s="625"/>
      <c r="H60" s="625"/>
      <c r="I60" s="682"/>
      <c r="J60" s="682"/>
      <c r="K60" s="625"/>
    </row>
    <row r="61" spans="2:13" x14ac:dyDescent="0.2">
      <c r="B61" s="625"/>
      <c r="C61" s="625"/>
      <c r="D61" s="625"/>
      <c r="E61" s="1339"/>
      <c r="F61" s="1339"/>
      <c r="G61" s="625"/>
      <c r="H61" s="625"/>
      <c r="I61" s="625"/>
      <c r="J61" s="625"/>
      <c r="K61" s="625"/>
    </row>
    <row r="62" spans="2:13" x14ac:dyDescent="0.2">
      <c r="B62" s="625"/>
      <c r="C62" s="625"/>
      <c r="D62" s="625"/>
      <c r="E62" s="625"/>
      <c r="F62" s="625"/>
      <c r="G62" s="625"/>
      <c r="H62" s="625"/>
      <c r="I62" s="625"/>
      <c r="J62" s="625"/>
      <c r="K62" s="683"/>
    </row>
    <row r="64" spans="2:13" x14ac:dyDescent="0.2">
      <c r="F64" s="625"/>
      <c r="K64" s="625"/>
      <c r="M64" s="1100"/>
    </row>
    <row r="65" spans="9:9" x14ac:dyDescent="0.2">
      <c r="I65" s="625"/>
    </row>
  </sheetData>
  <mergeCells count="16">
    <mergeCell ref="B60:D60"/>
    <mergeCell ref="E61:F61"/>
    <mergeCell ref="B34:G34"/>
    <mergeCell ref="B42:G42"/>
    <mergeCell ref="C57:D57"/>
    <mergeCell ref="C58:E58"/>
    <mergeCell ref="G58:I58"/>
    <mergeCell ref="B59:D59"/>
    <mergeCell ref="E59:F59"/>
    <mergeCell ref="G59:I59"/>
    <mergeCell ref="B22:G22"/>
    <mergeCell ref="B2:D2"/>
    <mergeCell ref="E5:I5"/>
    <mergeCell ref="E6:I6"/>
    <mergeCell ref="E8:I8"/>
    <mergeCell ref="B19:G19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690"/>
  <sheetViews>
    <sheetView topLeftCell="A589" zoomScale="90" zoomScaleNormal="100" workbookViewId="0">
      <selection activeCell="H629" activeCellId="2" sqref="H595 H613 H629"/>
    </sheetView>
  </sheetViews>
  <sheetFormatPr defaultColWidth="9.140625" defaultRowHeight="12.75" x14ac:dyDescent="0.2"/>
  <cols>
    <col min="1" max="1" width="22.85546875" style="80" customWidth="1"/>
    <col min="2" max="2" width="19.140625" style="80" customWidth="1"/>
    <col min="3" max="3" width="20" style="80" customWidth="1"/>
    <col min="4" max="4" width="18" style="80" customWidth="1"/>
    <col min="5" max="5" width="19.7109375" style="80" customWidth="1"/>
    <col min="6" max="6" width="16.140625" style="5" customWidth="1"/>
    <col min="7" max="7" width="16.42578125" style="5" customWidth="1"/>
    <col min="8" max="8" width="15.85546875" style="5" customWidth="1"/>
    <col min="9" max="9" width="16.140625" style="5" customWidth="1"/>
    <col min="10" max="10" width="14.42578125" style="5" bestFit="1" customWidth="1"/>
    <col min="11" max="11" width="18.28515625" style="5" customWidth="1"/>
    <col min="12" max="12" width="21.7109375" style="5" bestFit="1" customWidth="1"/>
    <col min="13" max="13" width="51.42578125" style="5" bestFit="1" customWidth="1"/>
    <col min="14" max="14" width="19.28515625" style="5" customWidth="1"/>
    <col min="15" max="15" width="22.140625" style="5" customWidth="1"/>
    <col min="16" max="16" width="18.28515625" style="5" customWidth="1"/>
    <col min="17" max="17" width="19.7109375" style="5" customWidth="1"/>
    <col min="18" max="16384" width="9.140625" style="5"/>
  </cols>
  <sheetData>
    <row r="2" spans="1:10" s="1" customFormat="1" x14ac:dyDescent="0.2">
      <c r="A2" s="2"/>
      <c r="D2" s="2"/>
      <c r="E2" s="3"/>
      <c r="F2" s="3" t="s">
        <v>627</v>
      </c>
      <c r="G2" s="3"/>
      <c r="H2" s="3"/>
      <c r="I2" s="3"/>
    </row>
    <row r="3" spans="1:10" s="1" customFormat="1" ht="40.5" customHeight="1" x14ac:dyDescent="0.2">
      <c r="B3" s="4"/>
      <c r="C3" s="4"/>
      <c r="D3" s="818"/>
      <c r="E3" s="818"/>
      <c r="F3" s="1345" t="s">
        <v>508</v>
      </c>
      <c r="G3" s="1346"/>
      <c r="H3" s="1346"/>
      <c r="I3" s="1346"/>
      <c r="J3" s="1346"/>
    </row>
    <row r="4" spans="1:10" ht="15" customHeight="1" x14ac:dyDescent="0.25">
      <c r="A4" s="396"/>
      <c r="B4" s="397"/>
      <c r="C4" s="397"/>
      <c r="D4" s="1514"/>
      <c r="E4" s="1514"/>
      <c r="F4" s="398"/>
      <c r="G4" s="398"/>
      <c r="H4" s="398"/>
      <c r="I4" s="398"/>
    </row>
    <row r="5" spans="1:10" ht="14.25" x14ac:dyDescent="0.2">
      <c r="A5" s="1540" t="s">
        <v>1050</v>
      </c>
      <c r="B5" s="1540"/>
      <c r="C5" s="1540"/>
      <c r="D5" s="1540"/>
      <c r="E5" s="1540"/>
      <c r="F5" s="1540"/>
      <c r="G5" s="1540"/>
      <c r="H5" s="1540"/>
      <c r="I5" s="1540"/>
    </row>
    <row r="6" spans="1:10" ht="15" customHeight="1" thickBot="1" x14ac:dyDescent="0.25">
      <c r="A6" s="1515"/>
      <c r="B6" s="1516"/>
      <c r="C6" s="1516"/>
      <c r="D6" s="1516"/>
      <c r="E6" s="1516"/>
      <c r="F6" s="1516"/>
      <c r="G6" s="1516"/>
      <c r="H6" s="1515"/>
      <c r="I6" s="1515"/>
    </row>
    <row r="7" spans="1:10" ht="13.9" customHeight="1" thickBot="1" x14ac:dyDescent="0.25">
      <c r="A7" s="819"/>
      <c r="B7" s="1527" t="s">
        <v>48</v>
      </c>
      <c r="C7" s="1528"/>
      <c r="D7" s="1528"/>
      <c r="E7" s="1528"/>
      <c r="F7" s="1528"/>
      <c r="G7" s="1529"/>
      <c r="H7" s="399"/>
      <c r="I7" s="399"/>
    </row>
    <row r="8" spans="1:10" ht="81.75" customHeight="1" x14ac:dyDescent="0.2">
      <c r="A8" s="1530" t="s">
        <v>207</v>
      </c>
      <c r="B8" s="1532" t="s">
        <v>30</v>
      </c>
      <c r="C8" s="1534" t="s">
        <v>510</v>
      </c>
      <c r="D8" s="1532" t="s">
        <v>498</v>
      </c>
      <c r="E8" s="1536" t="s">
        <v>277</v>
      </c>
      <c r="F8" s="1538" t="s">
        <v>280</v>
      </c>
      <c r="G8" s="1538" t="s">
        <v>281</v>
      </c>
      <c r="H8" s="1538" t="s">
        <v>213</v>
      </c>
      <c r="I8" s="1541" t="s">
        <v>142</v>
      </c>
    </row>
    <row r="9" spans="1:10" s="6" customFormat="1" ht="12.75" customHeight="1" x14ac:dyDescent="0.2">
      <c r="A9" s="1531"/>
      <c r="B9" s="1533"/>
      <c r="C9" s="1535"/>
      <c r="D9" s="1533"/>
      <c r="E9" s="1537"/>
      <c r="F9" s="1539"/>
      <c r="G9" s="1539"/>
      <c r="H9" s="1539"/>
      <c r="I9" s="1542"/>
    </row>
    <row r="10" spans="1:10" s="6" customFormat="1" x14ac:dyDescent="0.2">
      <c r="A10" s="1543" t="s">
        <v>50</v>
      </c>
      <c r="B10" s="1544"/>
      <c r="C10" s="1544"/>
      <c r="D10" s="1544"/>
      <c r="E10" s="1545"/>
      <c r="F10" s="1545"/>
      <c r="G10" s="1545"/>
      <c r="H10" s="1545"/>
      <c r="I10" s="1546"/>
    </row>
    <row r="11" spans="1:10" x14ac:dyDescent="0.2">
      <c r="A11" s="1227" t="s">
        <v>723</v>
      </c>
      <c r="B11" s="1228">
        <v>501081535.25999993</v>
      </c>
      <c r="C11" s="1228">
        <v>8563098.6000000015</v>
      </c>
      <c r="D11" s="1229">
        <f>104043919.48+211465984.96</f>
        <v>315509904.44</v>
      </c>
      <c r="E11" s="1228">
        <f>4710880.1+6136731.1</f>
        <v>10847611.199999999</v>
      </c>
      <c r="F11" s="1230">
        <v>475789.20999999996</v>
      </c>
      <c r="G11" s="1230">
        <f>3438087.93+4128086.32+1081559.93+4051225.52+20364.06</f>
        <v>12719323.76</v>
      </c>
      <c r="H11" s="1230">
        <v>143555553.91999999</v>
      </c>
      <c r="I11" s="1231">
        <f>B11+G11+F11+E11+D11+H11</f>
        <v>984189717.78999984</v>
      </c>
    </row>
    <row r="12" spans="1:10" x14ac:dyDescent="0.2">
      <c r="A12" s="1227" t="s">
        <v>51</v>
      </c>
      <c r="B12" s="1228">
        <f>SUM(B13:B15)</f>
        <v>208364235.84999999</v>
      </c>
      <c r="C12" s="1228">
        <f t="shared" ref="C12:H12" si="0">SUM(C13:C15)</f>
        <v>15169</v>
      </c>
      <c r="D12" s="1228">
        <f t="shared" si="0"/>
        <v>2685241.13</v>
      </c>
      <c r="E12" s="1228">
        <f t="shared" si="0"/>
        <v>54950</v>
      </c>
      <c r="F12" s="1228">
        <f t="shared" si="0"/>
        <v>0</v>
      </c>
      <c r="G12" s="1228">
        <f t="shared" si="0"/>
        <v>1104865.23</v>
      </c>
      <c r="H12" s="1228">
        <f t="shared" si="0"/>
        <v>79808533.010000005</v>
      </c>
      <c r="I12" s="1231">
        <f>B12+G12+F12+E12+D12+H12</f>
        <v>292017825.21999997</v>
      </c>
    </row>
    <row r="13" spans="1:10" x14ac:dyDescent="0.2">
      <c r="A13" s="1232" t="s">
        <v>52</v>
      </c>
      <c r="B13" s="1233">
        <v>0</v>
      </c>
      <c r="C13" s="1234">
        <v>0</v>
      </c>
      <c r="D13" s="1234">
        <f>269483.14+1221716.09</f>
        <v>1491199.23</v>
      </c>
      <c r="E13" s="1234">
        <v>54950</v>
      </c>
      <c r="F13" s="1235">
        <v>0</v>
      </c>
      <c r="G13" s="1236">
        <f>55208.78+271675.45+37313.72+642955.4</f>
        <v>1007153.35</v>
      </c>
      <c r="H13" s="1236">
        <v>0</v>
      </c>
      <c r="I13" s="1237">
        <f t="shared" ref="I13:I19" si="1">B13+SUM(D13:H13)</f>
        <v>2553302.58</v>
      </c>
    </row>
    <row r="14" spans="1:10" x14ac:dyDescent="0.2">
      <c r="A14" s="1232" t="s">
        <v>53</v>
      </c>
      <c r="B14" s="1233">
        <v>208364235.84999999</v>
      </c>
      <c r="C14" s="1234">
        <v>15169</v>
      </c>
      <c r="D14" s="1233">
        <f>1194041.9</f>
        <v>1194041.8999999999</v>
      </c>
      <c r="E14" s="1233">
        <v>0</v>
      </c>
      <c r="F14" s="1235">
        <v>0</v>
      </c>
      <c r="G14" s="1236">
        <f>90772.19+6939.69</f>
        <v>97711.88</v>
      </c>
      <c r="H14" s="1236">
        <v>79808533.010000005</v>
      </c>
      <c r="I14" s="1237">
        <f t="shared" si="1"/>
        <v>289464522.63999999</v>
      </c>
    </row>
    <row r="15" spans="1:10" x14ac:dyDescent="0.2">
      <c r="A15" s="1232" t="s">
        <v>600</v>
      </c>
      <c r="B15" s="1233">
        <v>0</v>
      </c>
      <c r="C15" s="1234">
        <v>0</v>
      </c>
      <c r="D15" s="1233">
        <v>0</v>
      </c>
      <c r="E15" s="1233">
        <v>0</v>
      </c>
      <c r="F15" s="1236">
        <v>0</v>
      </c>
      <c r="G15" s="1236">
        <v>0</v>
      </c>
      <c r="H15" s="1236">
        <v>0</v>
      </c>
      <c r="I15" s="1237">
        <f t="shared" si="1"/>
        <v>0</v>
      </c>
    </row>
    <row r="16" spans="1:10" x14ac:dyDescent="0.2">
      <c r="A16" s="1227" t="s">
        <v>54</v>
      </c>
      <c r="B16" s="1228">
        <f>SUM(B17:B18)</f>
        <v>638409.43999999994</v>
      </c>
      <c r="C16" s="1228">
        <f t="shared" ref="C16:H16" si="2">SUM(C17:C18)</f>
        <v>58044.51</v>
      </c>
      <c r="D16" s="1228">
        <f t="shared" si="2"/>
        <v>32597.83</v>
      </c>
      <c r="E16" s="1228">
        <f t="shared" si="2"/>
        <v>247901.14</v>
      </c>
      <c r="F16" s="1228">
        <f t="shared" si="2"/>
        <v>101229</v>
      </c>
      <c r="G16" s="1228">
        <f t="shared" si="2"/>
        <v>776771.48</v>
      </c>
      <c r="H16" s="1228">
        <f t="shared" si="2"/>
        <v>38394404.990000002</v>
      </c>
      <c r="I16" s="1231">
        <f t="shared" si="1"/>
        <v>40191313.880000003</v>
      </c>
      <c r="J16" s="1307"/>
    </row>
    <row r="17" spans="1:9" x14ac:dyDescent="0.2">
      <c r="A17" s="1232" t="s">
        <v>55</v>
      </c>
      <c r="B17" s="1233">
        <v>0</v>
      </c>
      <c r="C17" s="1233">
        <v>0</v>
      </c>
      <c r="D17" s="1234">
        <v>0</v>
      </c>
      <c r="E17" s="1234">
        <f>170007.45+77893.69</f>
        <v>247901.14</v>
      </c>
      <c r="F17" s="1234">
        <v>101229</v>
      </c>
      <c r="G17" s="1234">
        <f>126144.27+541737.34+48663.67+60226.2</f>
        <v>776771.48</v>
      </c>
      <c r="H17" s="1234">
        <v>38394404.990000002</v>
      </c>
      <c r="I17" s="1237">
        <f t="shared" si="1"/>
        <v>39520306.609999999</v>
      </c>
    </row>
    <row r="18" spans="1:9" x14ac:dyDescent="0.2">
      <c r="A18" s="1232" t="s">
        <v>53</v>
      </c>
      <c r="B18" s="1233">
        <v>638409.43999999994</v>
      </c>
      <c r="C18" s="1234">
        <v>58044.51</v>
      </c>
      <c r="D18" s="1233">
        <v>32597.83</v>
      </c>
      <c r="E18" s="1233">
        <v>0</v>
      </c>
      <c r="F18" s="1233">
        <v>0</v>
      </c>
      <c r="G18" s="1233">
        <v>0</v>
      </c>
      <c r="H18" s="1233">
        <v>0</v>
      </c>
      <c r="I18" s="1237">
        <f t="shared" si="1"/>
        <v>671007.2699999999</v>
      </c>
    </row>
    <row r="19" spans="1:9" x14ac:dyDescent="0.2">
      <c r="A19" s="1227" t="s">
        <v>724</v>
      </c>
      <c r="B19" s="1228">
        <f t="shared" ref="B19:G19" si="3">B11+B12-B16</f>
        <v>708807361.66999984</v>
      </c>
      <c r="C19" s="1228">
        <f>C11+C12-C16</f>
        <v>8520223.0900000017</v>
      </c>
      <c r="D19" s="1228">
        <f>D11+D12-D16</f>
        <v>318162547.74000001</v>
      </c>
      <c r="E19" s="1228">
        <f t="shared" si="3"/>
        <v>10654660.059999999</v>
      </c>
      <c r="F19" s="1230">
        <f t="shared" si="3"/>
        <v>374560.20999999996</v>
      </c>
      <c r="G19" s="1230">
        <f t="shared" si="3"/>
        <v>13047417.51</v>
      </c>
      <c r="H19" s="1230">
        <f>H11+H12-H16</f>
        <v>184969681.94</v>
      </c>
      <c r="I19" s="1231">
        <f t="shared" si="1"/>
        <v>1236016229.1299999</v>
      </c>
    </row>
    <row r="20" spans="1:9" x14ac:dyDescent="0.2">
      <c r="A20" s="1547" t="s">
        <v>494</v>
      </c>
      <c r="B20" s="1548"/>
      <c r="C20" s="1548"/>
      <c r="D20" s="1548"/>
      <c r="E20" s="1548"/>
      <c r="F20" s="1548"/>
      <c r="G20" s="1548"/>
      <c r="H20" s="1548"/>
      <c r="I20" s="1549"/>
    </row>
    <row r="21" spans="1:9" x14ac:dyDescent="0.2">
      <c r="A21" s="1227" t="s">
        <v>725</v>
      </c>
      <c r="B21" s="1228">
        <v>6682174.8200000003</v>
      </c>
      <c r="C21" s="1228">
        <v>0</v>
      </c>
      <c r="D21" s="1228">
        <v>181925698.19</v>
      </c>
      <c r="E21" s="1228">
        <f>4605855.3+4092892.48</f>
        <v>8698747.7799999993</v>
      </c>
      <c r="F21" s="1230">
        <v>324119.21000000002</v>
      </c>
      <c r="G21" s="1230">
        <f>3230200.49+4128086.32+1081559.93+4051225.52</f>
        <v>12491072.26</v>
      </c>
      <c r="H21" s="1230">
        <v>0</v>
      </c>
      <c r="I21" s="1231">
        <f t="shared" ref="I21:I28" si="4">B21+SUM(D21:H21)</f>
        <v>210121812.25999999</v>
      </c>
    </row>
    <row r="22" spans="1:9" x14ac:dyDescent="0.2">
      <c r="A22" s="1227" t="s">
        <v>51</v>
      </c>
      <c r="B22" s="1228">
        <f>SUM(B23:B25)</f>
        <v>514494.88</v>
      </c>
      <c r="C22" s="1228">
        <f t="shared" ref="C22:H22" si="5">SUM(C23:C25)</f>
        <v>0</v>
      </c>
      <c r="D22" s="1228">
        <f t="shared" si="5"/>
        <v>10132035.390000001</v>
      </c>
      <c r="E22" s="1228">
        <f t="shared" si="5"/>
        <v>501801.97</v>
      </c>
      <c r="F22" s="1228">
        <f t="shared" si="5"/>
        <v>31380</v>
      </c>
      <c r="G22" s="1228">
        <f t="shared" si="5"/>
        <v>1121142.0100000002</v>
      </c>
      <c r="H22" s="1228">
        <f t="shared" si="5"/>
        <v>0</v>
      </c>
      <c r="I22" s="1231">
        <f t="shared" si="4"/>
        <v>12300854.250000002</v>
      </c>
    </row>
    <row r="23" spans="1:9" x14ac:dyDescent="0.2">
      <c r="A23" s="1232" t="s">
        <v>60</v>
      </c>
      <c r="B23" s="1238">
        <v>514494.88</v>
      </c>
      <c r="C23" s="1238">
        <v>0</v>
      </c>
      <c r="D23" s="1238">
        <v>9905330.7599999998</v>
      </c>
      <c r="E23" s="1238">
        <f>64289.62+437512.35</f>
        <v>501801.97</v>
      </c>
      <c r="F23" s="1238">
        <v>31380</v>
      </c>
      <c r="G23" s="1238">
        <f>71485.56</f>
        <v>71485.56</v>
      </c>
      <c r="H23" s="1238">
        <v>0</v>
      </c>
      <c r="I23" s="1237">
        <f t="shared" si="4"/>
        <v>11024493.170000002</v>
      </c>
    </row>
    <row r="24" spans="1:9" x14ac:dyDescent="0.2">
      <c r="A24" s="1232" t="s">
        <v>53</v>
      </c>
      <c r="B24" s="1238">
        <v>0</v>
      </c>
      <c r="C24" s="1238">
        <v>0</v>
      </c>
      <c r="D24" s="1238">
        <v>226704.63</v>
      </c>
      <c r="E24" s="1238">
        <v>0</v>
      </c>
      <c r="F24" s="1238">
        <v>0</v>
      </c>
      <c r="G24" s="1238">
        <f>362447.64+44253.41+642955.4</f>
        <v>1049656.4500000002</v>
      </c>
      <c r="H24" s="1238">
        <v>0</v>
      </c>
      <c r="I24" s="1237">
        <f t="shared" si="4"/>
        <v>1276361.08</v>
      </c>
    </row>
    <row r="25" spans="1:9" x14ac:dyDescent="0.2">
      <c r="A25" s="1232" t="s">
        <v>600</v>
      </c>
      <c r="B25" s="1239">
        <v>0</v>
      </c>
      <c r="C25" s="1239">
        <v>0</v>
      </c>
      <c r="D25" s="1239">
        <v>0</v>
      </c>
      <c r="E25" s="1239">
        <v>0</v>
      </c>
      <c r="F25" s="1239">
        <v>0</v>
      </c>
      <c r="G25" s="1239">
        <v>0</v>
      </c>
      <c r="H25" s="1239">
        <v>0</v>
      </c>
      <c r="I25" s="1237">
        <f t="shared" si="4"/>
        <v>0</v>
      </c>
    </row>
    <row r="26" spans="1:9" x14ac:dyDescent="0.2">
      <c r="A26" s="1227" t="s">
        <v>54</v>
      </c>
      <c r="B26" s="1228">
        <f>SUM(B27:B28)</f>
        <v>0</v>
      </c>
      <c r="C26" s="1228">
        <f t="shared" ref="C26:H26" si="6">SUM(C27:C28)</f>
        <v>0</v>
      </c>
      <c r="D26" s="1228">
        <f t="shared" si="6"/>
        <v>8673.3799999999992</v>
      </c>
      <c r="E26" s="1228">
        <f t="shared" si="6"/>
        <v>247901.14</v>
      </c>
      <c r="F26" s="1228">
        <f t="shared" si="6"/>
        <v>101229</v>
      </c>
      <c r="G26" s="1228">
        <f t="shared" si="6"/>
        <v>776771.48</v>
      </c>
      <c r="H26" s="1228">
        <f t="shared" si="6"/>
        <v>0</v>
      </c>
      <c r="I26" s="1231">
        <f t="shared" si="4"/>
        <v>1134575</v>
      </c>
    </row>
    <row r="27" spans="1:9" x14ac:dyDescent="0.2">
      <c r="A27" s="1232" t="s">
        <v>55</v>
      </c>
      <c r="B27" s="1233">
        <v>0</v>
      </c>
      <c r="C27" s="1233">
        <v>0</v>
      </c>
      <c r="D27" s="1233">
        <v>8673.3799999999992</v>
      </c>
      <c r="E27" s="1233">
        <f>170007.45+77893.69</f>
        <v>247901.14</v>
      </c>
      <c r="F27" s="1233">
        <v>101229</v>
      </c>
      <c r="G27" s="1233">
        <f>126144.27+541737.34+48663.67+60226.2</f>
        <v>776771.48</v>
      </c>
      <c r="H27" s="1233">
        <v>0</v>
      </c>
      <c r="I27" s="1237">
        <f t="shared" si="4"/>
        <v>1134575</v>
      </c>
    </row>
    <row r="28" spans="1:9" x14ac:dyDescent="0.2">
      <c r="A28" s="1232" t="s">
        <v>53</v>
      </c>
      <c r="B28" s="1234">
        <v>0</v>
      </c>
      <c r="C28" s="1234">
        <v>0</v>
      </c>
      <c r="D28" s="1234">
        <v>0</v>
      </c>
      <c r="E28" s="1234">
        <v>0</v>
      </c>
      <c r="F28" s="1234">
        <v>0</v>
      </c>
      <c r="G28" s="1234">
        <v>0</v>
      </c>
      <c r="H28" s="1234">
        <v>0</v>
      </c>
      <c r="I28" s="1237">
        <f t="shared" si="4"/>
        <v>0</v>
      </c>
    </row>
    <row r="29" spans="1:9" x14ac:dyDescent="0.2">
      <c r="A29" s="1227" t="s">
        <v>724</v>
      </c>
      <c r="B29" s="1228">
        <f>B21+B22-B26</f>
        <v>7196669.7000000002</v>
      </c>
      <c r="C29" s="1228">
        <f t="shared" ref="C29:H29" si="7">C21+C22-C26</f>
        <v>0</v>
      </c>
      <c r="D29" s="1228">
        <f t="shared" si="7"/>
        <v>192049060.19999999</v>
      </c>
      <c r="E29" s="1228">
        <f t="shared" si="7"/>
        <v>8952648.6099999994</v>
      </c>
      <c r="F29" s="1230">
        <f t="shared" si="7"/>
        <v>254270.21000000002</v>
      </c>
      <c r="G29" s="1230">
        <f t="shared" si="7"/>
        <v>12835442.789999999</v>
      </c>
      <c r="H29" s="1230">
        <f t="shared" si="7"/>
        <v>0</v>
      </c>
      <c r="I29" s="1231">
        <f>B29+SUM(D29:H29)</f>
        <v>221288091.50999999</v>
      </c>
    </row>
    <row r="30" spans="1:9" x14ac:dyDescent="0.2">
      <c r="A30" s="1547" t="s">
        <v>509</v>
      </c>
      <c r="B30" s="1548"/>
      <c r="C30" s="1548"/>
      <c r="D30" s="1548"/>
      <c r="E30" s="1548"/>
      <c r="F30" s="1548"/>
      <c r="G30" s="1548"/>
      <c r="H30" s="1548"/>
      <c r="I30" s="1549"/>
    </row>
    <row r="31" spans="1:9" x14ac:dyDescent="0.2">
      <c r="A31" s="1227" t="s">
        <v>725</v>
      </c>
      <c r="B31" s="1228">
        <v>82567.289999999994</v>
      </c>
      <c r="C31" s="1228">
        <v>82567.289999999979</v>
      </c>
      <c r="D31" s="1228">
        <v>0</v>
      </c>
      <c r="E31" s="1228">
        <v>0</v>
      </c>
      <c r="F31" s="1230">
        <v>0</v>
      </c>
      <c r="G31" s="1230">
        <v>0</v>
      </c>
      <c r="H31" s="1230">
        <v>2255691.0099999998</v>
      </c>
      <c r="I31" s="1231">
        <f>B31+SUM(D31:H31)</f>
        <v>2338258.2999999998</v>
      </c>
    </row>
    <row r="32" spans="1:9" x14ac:dyDescent="0.2">
      <c r="A32" s="1232" t="s">
        <v>80</v>
      </c>
      <c r="B32" s="1233">
        <v>82567.289999999994</v>
      </c>
      <c r="C32" s="1233">
        <v>82567.289999999994</v>
      </c>
      <c r="D32" s="1233">
        <v>0</v>
      </c>
      <c r="E32" s="1233">
        <v>0</v>
      </c>
      <c r="F32" s="1233">
        <v>0</v>
      </c>
      <c r="G32" s="1233">
        <v>0</v>
      </c>
      <c r="H32" s="1233">
        <v>0</v>
      </c>
      <c r="I32" s="1237">
        <f>B32+SUM(D32:H32)</f>
        <v>82567.289999999994</v>
      </c>
    </row>
    <row r="33" spans="1:9" x14ac:dyDescent="0.2">
      <c r="A33" s="1232" t="s">
        <v>84</v>
      </c>
      <c r="B33" s="1240">
        <v>82567.289999999994</v>
      </c>
      <c r="C33" s="1233">
        <v>82567.289999999994</v>
      </c>
      <c r="D33" s="1240">
        <v>0</v>
      </c>
      <c r="E33" s="1240">
        <v>0</v>
      </c>
      <c r="F33" s="1240">
        <v>0</v>
      </c>
      <c r="G33" s="1240">
        <v>0</v>
      </c>
      <c r="H33" s="1240">
        <v>0</v>
      </c>
      <c r="I33" s="1237">
        <f>B33+SUM(D33:H33)</f>
        <v>82567.289999999994</v>
      </c>
    </row>
    <row r="34" spans="1:9" x14ac:dyDescent="0.2">
      <c r="A34" s="1241" t="s">
        <v>724</v>
      </c>
      <c r="B34" s="1242">
        <f t="shared" ref="B34:H34" si="8">B31+B32-B33</f>
        <v>82567.289999999994</v>
      </c>
      <c r="C34" s="1242">
        <f t="shared" si="8"/>
        <v>82567.289999999964</v>
      </c>
      <c r="D34" s="1242">
        <f t="shared" si="8"/>
        <v>0</v>
      </c>
      <c r="E34" s="1242">
        <f t="shared" si="8"/>
        <v>0</v>
      </c>
      <c r="F34" s="1243">
        <f t="shared" si="8"/>
        <v>0</v>
      </c>
      <c r="G34" s="1243">
        <f t="shared" si="8"/>
        <v>0</v>
      </c>
      <c r="H34" s="1243">
        <f t="shared" si="8"/>
        <v>2255691.0099999998</v>
      </c>
      <c r="I34" s="1231">
        <f>B34+SUM(D34:H34)</f>
        <v>2338258.2999999998</v>
      </c>
    </row>
    <row r="35" spans="1:9" x14ac:dyDescent="0.2">
      <c r="A35" s="1543" t="s">
        <v>62</v>
      </c>
      <c r="B35" s="1544"/>
      <c r="C35" s="1544"/>
      <c r="D35" s="1544"/>
      <c r="E35" s="1544"/>
      <c r="F35" s="1544"/>
      <c r="G35" s="1544"/>
      <c r="H35" s="1544"/>
      <c r="I35" s="1546"/>
    </row>
    <row r="36" spans="1:9" x14ac:dyDescent="0.2">
      <c r="A36" s="1078" t="s">
        <v>725</v>
      </c>
      <c r="B36" s="1079">
        <f>B11-B21-B31</f>
        <v>494316793.14999992</v>
      </c>
      <c r="C36" s="1079">
        <f t="shared" ref="C36:I36" si="9">C11-C21-C31</f>
        <v>8480531.3100000024</v>
      </c>
      <c r="D36" s="1079">
        <f t="shared" si="9"/>
        <v>133584206.25</v>
      </c>
      <c r="E36" s="1079">
        <f t="shared" si="9"/>
        <v>2148863.42</v>
      </c>
      <c r="F36" s="1079">
        <f t="shared" si="9"/>
        <v>151669.99999999994</v>
      </c>
      <c r="G36" s="1080">
        <f t="shared" si="9"/>
        <v>228251.5</v>
      </c>
      <c r="H36" s="1080">
        <f>H11-H21-H31</f>
        <v>141299862.91</v>
      </c>
      <c r="I36" s="1081">
        <f t="shared" si="9"/>
        <v>771729647.2299999</v>
      </c>
    </row>
    <row r="37" spans="1:9" ht="13.5" thickBot="1" x14ac:dyDescent="0.25">
      <c r="A37" s="820" t="s">
        <v>724</v>
      </c>
      <c r="B37" s="1082">
        <f t="shared" ref="B37:I37" si="10">B19-B29-B34</f>
        <v>701528124.67999983</v>
      </c>
      <c r="C37" s="1082">
        <f t="shared" si="10"/>
        <v>8437655.8000000026</v>
      </c>
      <c r="D37" s="1082">
        <f t="shared" si="10"/>
        <v>126113487.54000002</v>
      </c>
      <c r="E37" s="1082">
        <f t="shared" si="10"/>
        <v>1702011.4499999993</v>
      </c>
      <c r="F37" s="1083">
        <f t="shared" si="10"/>
        <v>120289.99999999994</v>
      </c>
      <c r="G37" s="1083">
        <f t="shared" si="10"/>
        <v>211974.72000000067</v>
      </c>
      <c r="H37" s="1083">
        <f t="shared" si="10"/>
        <v>182713990.93000001</v>
      </c>
      <c r="I37" s="1084">
        <f t="shared" si="10"/>
        <v>1012389879.3199999</v>
      </c>
    </row>
    <row r="38" spans="1:9" ht="14.25" x14ac:dyDescent="0.2">
      <c r="A38" s="821" t="s">
        <v>592</v>
      </c>
      <c r="B38" s="821"/>
      <c r="C38" s="822"/>
      <c r="D38" s="822"/>
    </row>
    <row r="39" spans="1:9" ht="14.25" thickBot="1" x14ac:dyDescent="0.25">
      <c r="A39" s="823"/>
      <c r="B39" s="823"/>
      <c r="C39" s="822"/>
      <c r="D39" s="822"/>
    </row>
    <row r="40" spans="1:9" ht="21.75" customHeight="1" x14ac:dyDescent="0.2">
      <c r="A40" s="1521" t="s">
        <v>493</v>
      </c>
      <c r="B40" s="1522"/>
      <c r="C40" s="1517" t="s">
        <v>497</v>
      </c>
      <c r="D40" s="822"/>
    </row>
    <row r="41" spans="1:9" ht="13.5" customHeight="1" x14ac:dyDescent="0.2">
      <c r="A41" s="1523"/>
      <c r="B41" s="1524"/>
      <c r="C41" s="1518"/>
      <c r="D41" s="822"/>
    </row>
    <row r="42" spans="1:9" ht="29.25" customHeight="1" x14ac:dyDescent="0.2">
      <c r="A42" s="1525"/>
      <c r="B42" s="1526"/>
      <c r="C42" s="1519"/>
      <c r="D42" s="822"/>
    </row>
    <row r="43" spans="1:9" ht="15" x14ac:dyDescent="0.3">
      <c r="A43" s="1368" t="s">
        <v>50</v>
      </c>
      <c r="B43" s="1369"/>
      <c r="C43" s="1520"/>
      <c r="D43" s="822"/>
    </row>
    <row r="44" spans="1:9" ht="15" x14ac:dyDescent="0.3">
      <c r="A44" s="1062" t="s">
        <v>723</v>
      </c>
      <c r="B44" s="1063"/>
      <c r="C44" s="824">
        <v>1826249.51</v>
      </c>
      <c r="D44" s="822"/>
    </row>
    <row r="45" spans="1:9" ht="15" x14ac:dyDescent="0.3">
      <c r="A45" s="1066" t="s">
        <v>51</v>
      </c>
      <c r="B45" s="1067"/>
      <c r="C45" s="825">
        <f>SUM(C46:C47)</f>
        <v>264895.18</v>
      </c>
      <c r="D45" s="822"/>
    </row>
    <row r="46" spans="1:9" ht="15" x14ac:dyDescent="0.3">
      <c r="A46" s="1064" t="s">
        <v>52</v>
      </c>
      <c r="B46" s="1065"/>
      <c r="C46" s="826">
        <v>264895.18</v>
      </c>
      <c r="D46" s="822"/>
    </row>
    <row r="47" spans="1:9" ht="15" x14ac:dyDescent="0.3">
      <c r="A47" s="1064" t="s">
        <v>53</v>
      </c>
      <c r="B47" s="1065"/>
      <c r="C47" s="826">
        <v>0</v>
      </c>
      <c r="D47" s="822"/>
    </row>
    <row r="48" spans="1:9" ht="15" x14ac:dyDescent="0.3">
      <c r="A48" s="1066" t="s">
        <v>54</v>
      </c>
      <c r="B48" s="1067"/>
      <c r="C48" s="825">
        <f>SUM(C49:C50)</f>
        <v>0</v>
      </c>
      <c r="D48" s="822"/>
    </row>
    <row r="49" spans="1:4" ht="15" x14ac:dyDescent="0.3">
      <c r="A49" s="1064" t="s">
        <v>55</v>
      </c>
      <c r="B49" s="1065"/>
      <c r="C49" s="826">
        <v>0</v>
      </c>
      <c r="D49" s="822"/>
    </row>
    <row r="50" spans="1:4" ht="15" x14ac:dyDescent="0.3">
      <c r="A50" s="1064" t="s">
        <v>53</v>
      </c>
      <c r="B50" s="1065"/>
      <c r="C50" s="826">
        <v>0</v>
      </c>
      <c r="D50" s="822"/>
    </row>
    <row r="51" spans="1:4" ht="15" x14ac:dyDescent="0.3">
      <c r="A51" s="1066" t="s">
        <v>726</v>
      </c>
      <c r="B51" s="1067"/>
      <c r="C51" s="825">
        <f>C44+C45-C48</f>
        <v>2091144.69</v>
      </c>
      <c r="D51" s="822"/>
    </row>
    <row r="52" spans="1:4" ht="15" x14ac:dyDescent="0.3">
      <c r="A52" s="1085" t="s">
        <v>494</v>
      </c>
      <c r="B52" s="1086"/>
      <c r="C52" s="1087"/>
      <c r="D52" s="822"/>
    </row>
    <row r="53" spans="1:4" ht="15" x14ac:dyDescent="0.3">
      <c r="A53" s="1062" t="s">
        <v>725</v>
      </c>
      <c r="B53" s="1063"/>
      <c r="C53" s="824">
        <v>1826249.51</v>
      </c>
      <c r="D53" s="822"/>
    </row>
    <row r="54" spans="1:4" ht="15" x14ac:dyDescent="0.3">
      <c r="A54" s="1066" t="s">
        <v>51</v>
      </c>
      <c r="B54" s="1067"/>
      <c r="C54" s="825">
        <f>SUM(C55:C56)</f>
        <v>264895.18</v>
      </c>
      <c r="D54" s="822"/>
    </row>
    <row r="55" spans="1:4" ht="15" x14ac:dyDescent="0.3">
      <c r="A55" s="1064" t="s">
        <v>60</v>
      </c>
      <c r="B55" s="1065"/>
      <c r="C55" s="826">
        <v>264895.18</v>
      </c>
      <c r="D55" s="822"/>
    </row>
    <row r="56" spans="1:4" ht="15" x14ac:dyDescent="0.3">
      <c r="A56" s="1064" t="s">
        <v>53</v>
      </c>
      <c r="B56" s="1065"/>
      <c r="C56" s="826">
        <v>0</v>
      </c>
      <c r="D56" s="822"/>
    </row>
    <row r="57" spans="1:4" ht="15" x14ac:dyDescent="0.3">
      <c r="A57" s="1066" t="s">
        <v>54</v>
      </c>
      <c r="B57" s="1067"/>
      <c r="C57" s="825">
        <f>SUM(C58:C59)</f>
        <v>0</v>
      </c>
      <c r="D57" s="822"/>
    </row>
    <row r="58" spans="1:4" ht="15" x14ac:dyDescent="0.3">
      <c r="A58" s="1064" t="s">
        <v>55</v>
      </c>
      <c r="B58" s="1065"/>
      <c r="C58" s="826">
        <v>0</v>
      </c>
      <c r="D58" s="822"/>
    </row>
    <row r="59" spans="1:4" ht="15" x14ac:dyDescent="0.3">
      <c r="A59" s="1068" t="s">
        <v>53</v>
      </c>
      <c r="B59" s="1069"/>
      <c r="C59" s="827">
        <v>0</v>
      </c>
      <c r="D59" s="822"/>
    </row>
    <row r="60" spans="1:4" ht="15" x14ac:dyDescent="0.3">
      <c r="A60" s="1070" t="s">
        <v>724</v>
      </c>
      <c r="B60" s="1071"/>
      <c r="C60" s="825">
        <f>C53+C54-C57</f>
        <v>2091144.69</v>
      </c>
      <c r="D60" s="822"/>
    </row>
    <row r="61" spans="1:4" ht="15" x14ac:dyDescent="0.2">
      <c r="A61" s="1361" t="s">
        <v>509</v>
      </c>
      <c r="B61" s="1362"/>
      <c r="C61" s="1363"/>
      <c r="D61" s="822"/>
    </row>
    <row r="62" spans="1:4" ht="15" x14ac:dyDescent="0.3">
      <c r="A62" s="1497" t="s">
        <v>725</v>
      </c>
      <c r="B62" s="1498"/>
      <c r="C62" s="824">
        <v>0</v>
      </c>
      <c r="D62" s="822"/>
    </row>
    <row r="63" spans="1:4" ht="15" x14ac:dyDescent="0.3">
      <c r="A63" s="1558" t="s">
        <v>80</v>
      </c>
      <c r="B63" s="1559"/>
      <c r="C63" s="826">
        <v>0</v>
      </c>
      <c r="D63" s="822"/>
    </row>
    <row r="64" spans="1:4" ht="15" x14ac:dyDescent="0.3">
      <c r="A64" s="1558" t="s">
        <v>84</v>
      </c>
      <c r="B64" s="1559"/>
      <c r="C64" s="826">
        <v>0</v>
      </c>
      <c r="D64" s="822"/>
    </row>
    <row r="65" spans="1:7" ht="15" x14ac:dyDescent="0.3">
      <c r="A65" s="1561" t="s">
        <v>726</v>
      </c>
      <c r="B65" s="1562"/>
      <c r="C65" s="828">
        <f>C62+C63-C64</f>
        <v>0</v>
      </c>
      <c r="D65" s="822"/>
    </row>
    <row r="66" spans="1:7" ht="15" x14ac:dyDescent="0.3">
      <c r="A66" s="1368" t="s">
        <v>62</v>
      </c>
      <c r="B66" s="1369"/>
      <c r="C66" s="1363"/>
      <c r="D66" s="822"/>
    </row>
    <row r="67" spans="1:7" ht="15" x14ac:dyDescent="0.3">
      <c r="A67" s="1497" t="s">
        <v>725</v>
      </c>
      <c r="B67" s="1498"/>
      <c r="C67" s="824">
        <f>C44-C53-C62</f>
        <v>0</v>
      </c>
      <c r="D67" s="822"/>
    </row>
    <row r="68" spans="1:7" ht="15.75" thickBot="1" x14ac:dyDescent="0.35">
      <c r="A68" s="1556" t="s">
        <v>724</v>
      </c>
      <c r="B68" s="1557"/>
      <c r="C68" s="829">
        <f>C51-C60-C65</f>
        <v>0</v>
      </c>
      <c r="D68" s="822"/>
    </row>
    <row r="76" spans="1:7" ht="15" x14ac:dyDescent="0.25">
      <c r="A76" s="1563" t="s">
        <v>591</v>
      </c>
      <c r="B76" s="1564"/>
      <c r="C76" s="1564"/>
      <c r="D76" s="1564"/>
      <c r="E76" s="1564"/>
      <c r="F76" s="400"/>
      <c r="G76" s="400"/>
    </row>
    <row r="77" spans="1:7" ht="14.25" thickBot="1" x14ac:dyDescent="0.25">
      <c r="A77" s="401"/>
      <c r="B77" s="402"/>
      <c r="C77" s="402"/>
      <c r="D77" s="402"/>
      <c r="E77" s="402"/>
      <c r="F77" s="400"/>
      <c r="G77" s="400"/>
    </row>
    <row r="78" spans="1:7" ht="153.75" thickBot="1" x14ac:dyDescent="0.25">
      <c r="A78" s="403" t="s">
        <v>156</v>
      </c>
      <c r="B78" s="404" t="s">
        <v>511</v>
      </c>
      <c r="C78" s="404" t="s">
        <v>512</v>
      </c>
      <c r="D78" s="404" t="s">
        <v>513</v>
      </c>
      <c r="E78" s="405" t="s">
        <v>464</v>
      </c>
      <c r="F78" s="400"/>
      <c r="G78" s="400"/>
    </row>
    <row r="79" spans="1:7" ht="14.25" thickBot="1" x14ac:dyDescent="0.25">
      <c r="A79" s="406" t="s">
        <v>50</v>
      </c>
      <c r="B79" s="407"/>
      <c r="C79" s="407"/>
      <c r="D79" s="407"/>
      <c r="E79" s="408"/>
      <c r="F79" s="400"/>
      <c r="G79" s="400"/>
    </row>
    <row r="80" spans="1:7" ht="25.5" x14ac:dyDescent="0.3">
      <c r="A80" s="409" t="s">
        <v>727</v>
      </c>
      <c r="B80" s="410">
        <v>6944.06</v>
      </c>
      <c r="C80" s="410">
        <v>13420</v>
      </c>
      <c r="D80" s="410"/>
      <c r="E80" s="411">
        <f>B80+C80+D80</f>
        <v>20364.060000000001</v>
      </c>
      <c r="F80" s="412"/>
      <c r="G80" s="413"/>
    </row>
    <row r="81" spans="1:7" ht="13.5" x14ac:dyDescent="0.2">
      <c r="A81" s="414" t="s">
        <v>80</v>
      </c>
      <c r="B81" s="415">
        <f>SUM(B82:B83)</f>
        <v>0</v>
      </c>
      <c r="C81" s="415">
        <f>SUM(C82:C83)</f>
        <v>0</v>
      </c>
      <c r="D81" s="415">
        <f>SUM(D82:D83)</f>
        <v>0</v>
      </c>
      <c r="E81" s="416">
        <f>SUM(E82:E83)</f>
        <v>0</v>
      </c>
      <c r="F81" s="400"/>
      <c r="G81" s="400"/>
    </row>
    <row r="82" spans="1:7" ht="13.5" x14ac:dyDescent="0.2">
      <c r="A82" s="417" t="s">
        <v>470</v>
      </c>
      <c r="B82" s="418"/>
      <c r="C82" s="418"/>
      <c r="D82" s="418"/>
      <c r="E82" s="419">
        <f>B82+C82+D82</f>
        <v>0</v>
      </c>
      <c r="F82" s="400"/>
      <c r="G82" s="400"/>
    </row>
    <row r="83" spans="1:7" ht="13.5" x14ac:dyDescent="0.2">
      <c r="A83" s="417" t="s">
        <v>514</v>
      </c>
      <c r="B83" s="418"/>
      <c r="C83" s="418"/>
      <c r="D83" s="418"/>
      <c r="E83" s="419">
        <f>B83+C83+D83</f>
        <v>0</v>
      </c>
      <c r="F83" s="400"/>
      <c r="G83" s="400"/>
    </row>
    <row r="84" spans="1:7" ht="13.5" x14ac:dyDescent="0.2">
      <c r="A84" s="414" t="s">
        <v>84</v>
      </c>
      <c r="B84" s="415">
        <f>SUM(B85:B87)</f>
        <v>0</v>
      </c>
      <c r="C84" s="415">
        <f>SUM(C85:C87)</f>
        <v>0</v>
      </c>
      <c r="D84" s="415">
        <f>SUM(D85:D87)</f>
        <v>0</v>
      </c>
      <c r="E84" s="416">
        <f>SUM(E85:E87)</f>
        <v>0</v>
      </c>
      <c r="F84" s="400"/>
      <c r="G84" s="400"/>
    </row>
    <row r="85" spans="1:7" ht="13.5" x14ac:dyDescent="0.2">
      <c r="A85" s="417" t="s">
        <v>471</v>
      </c>
      <c r="B85" s="418"/>
      <c r="C85" s="418"/>
      <c r="D85" s="418"/>
      <c r="E85" s="419">
        <f>B85+C85+D85</f>
        <v>0</v>
      </c>
      <c r="F85" s="400"/>
      <c r="G85" s="400"/>
    </row>
    <row r="86" spans="1:7" ht="13.5" x14ac:dyDescent="0.2">
      <c r="A86" s="417" t="s">
        <v>472</v>
      </c>
      <c r="B86" s="418"/>
      <c r="C86" s="418"/>
      <c r="D86" s="418"/>
      <c r="E86" s="419">
        <f>B86+C86+D86</f>
        <v>0</v>
      </c>
      <c r="F86" s="400"/>
      <c r="G86" s="400"/>
    </row>
    <row r="87" spans="1:7" ht="13.5" x14ac:dyDescent="0.2">
      <c r="A87" s="420" t="s">
        <v>515</v>
      </c>
      <c r="B87" s="418"/>
      <c r="C87" s="418"/>
      <c r="D87" s="418"/>
      <c r="E87" s="419">
        <f>B87+C87+D87</f>
        <v>0</v>
      </c>
      <c r="F87" s="400"/>
      <c r="G87" s="400"/>
    </row>
    <row r="88" spans="1:7" ht="26.25" thickBot="1" x14ac:dyDescent="0.25">
      <c r="A88" s="421" t="s">
        <v>728</v>
      </c>
      <c r="B88" s="422">
        <f>B80+B81-B84</f>
        <v>6944.06</v>
      </c>
      <c r="C88" s="422">
        <f>C80+C81-C84</f>
        <v>13420</v>
      </c>
      <c r="D88" s="422">
        <f>D80+D81-D84</f>
        <v>0</v>
      </c>
      <c r="E88" s="423">
        <f>E80+E81-E84</f>
        <v>20364.060000000001</v>
      </c>
      <c r="F88" s="400"/>
      <c r="G88" s="400"/>
    </row>
    <row r="89" spans="1:7" ht="14.25" thickBot="1" x14ac:dyDescent="0.25">
      <c r="A89" s="424" t="s">
        <v>473</v>
      </c>
      <c r="B89" s="402"/>
      <c r="C89" s="402"/>
      <c r="D89" s="402"/>
      <c r="E89" s="425"/>
      <c r="F89" s="400"/>
      <c r="G89" s="400"/>
    </row>
    <row r="90" spans="1:7" ht="13.5" x14ac:dyDescent="0.2">
      <c r="A90" s="409" t="s">
        <v>729</v>
      </c>
      <c r="B90" s="410"/>
      <c r="C90" s="410"/>
      <c r="D90" s="410"/>
      <c r="E90" s="411">
        <f>B90+C90+D90</f>
        <v>0</v>
      </c>
      <c r="F90" s="400"/>
      <c r="G90" s="400"/>
    </row>
    <row r="91" spans="1:7" ht="13.5" x14ac:dyDescent="0.2">
      <c r="A91" s="414" t="s">
        <v>80</v>
      </c>
      <c r="B91" s="426"/>
      <c r="C91" s="426"/>
      <c r="D91" s="426"/>
      <c r="E91" s="416">
        <f>SUM(B91:D91)</f>
        <v>0</v>
      </c>
      <c r="F91" s="400"/>
      <c r="G91" s="400"/>
    </row>
    <row r="92" spans="1:7" ht="13.5" x14ac:dyDescent="0.2">
      <c r="A92" s="414" t="s">
        <v>84</v>
      </c>
      <c r="B92" s="426"/>
      <c r="C92" s="426"/>
      <c r="D92" s="426"/>
      <c r="E92" s="416">
        <f>SUM(B92:D92)</f>
        <v>0</v>
      </c>
      <c r="F92" s="400"/>
      <c r="G92" s="400"/>
    </row>
    <row r="93" spans="1:7" ht="37.5" customHeight="1" thickBot="1" x14ac:dyDescent="0.25">
      <c r="A93" s="421" t="s">
        <v>730</v>
      </c>
      <c r="B93" s="422">
        <f>B90+B91-B92</f>
        <v>0</v>
      </c>
      <c r="C93" s="422">
        <f>C90+C91-C92</f>
        <v>0</v>
      </c>
      <c r="D93" s="422">
        <f>D90+D91-D92</f>
        <v>0</v>
      </c>
      <c r="E93" s="423">
        <f>E90+E91-E92</f>
        <v>0</v>
      </c>
      <c r="F93" s="400"/>
      <c r="G93" s="400"/>
    </row>
    <row r="94" spans="1:7" ht="13.5" thickBot="1" x14ac:dyDescent="0.25">
      <c r="A94" s="1503" t="s">
        <v>62</v>
      </c>
      <c r="B94" s="1504"/>
      <c r="C94" s="1504"/>
      <c r="D94" s="1504"/>
      <c r="E94" s="1505"/>
    </row>
    <row r="95" spans="1:7" x14ac:dyDescent="0.2">
      <c r="A95" s="830" t="s">
        <v>389</v>
      </c>
      <c r="B95" s="831">
        <f>B80-B90</f>
        <v>6944.06</v>
      </c>
      <c r="C95" s="831">
        <f>C80-C90</f>
        <v>13420</v>
      </c>
      <c r="D95" s="831">
        <f>D80-D90</f>
        <v>0</v>
      </c>
      <c r="E95" s="831">
        <f>E80-E90</f>
        <v>20364.060000000001</v>
      </c>
    </row>
    <row r="96" spans="1:7" ht="13.5" thickBot="1" x14ac:dyDescent="0.25">
      <c r="A96" s="832" t="s">
        <v>390</v>
      </c>
      <c r="B96" s="833">
        <f>B88-B93</f>
        <v>6944.06</v>
      </c>
      <c r="C96" s="833">
        <f>C88-C93</f>
        <v>13420</v>
      </c>
      <c r="D96" s="833">
        <f>D88-D93</f>
        <v>0</v>
      </c>
      <c r="E96" s="833">
        <f>E88-E93</f>
        <v>20364.060000000001</v>
      </c>
    </row>
    <row r="101" spans="1:9" ht="48" customHeight="1" x14ac:dyDescent="0.25">
      <c r="A101" s="1506" t="s">
        <v>590</v>
      </c>
      <c r="B101" s="1506"/>
      <c r="C101" s="1506"/>
      <c r="D101" s="1506"/>
    </row>
    <row r="102" spans="1:9" ht="13.5" thickBot="1" x14ac:dyDescent="0.25">
      <c r="A102" s="1496"/>
      <c r="B102" s="1426"/>
      <c r="C102" s="1426"/>
    </row>
    <row r="103" spans="1:9" x14ac:dyDescent="0.2">
      <c r="A103" s="834" t="s">
        <v>36</v>
      </c>
      <c r="B103" s="835" t="s">
        <v>389</v>
      </c>
      <c r="C103" s="835" t="s">
        <v>390</v>
      </c>
      <c r="D103" s="836" t="s">
        <v>292</v>
      </c>
    </row>
    <row r="104" spans="1:9" x14ac:dyDescent="0.2">
      <c r="A104" s="837" t="s">
        <v>516</v>
      </c>
      <c r="B104" s="838"/>
      <c r="C104" s="838"/>
      <c r="D104" s="839"/>
    </row>
    <row r="105" spans="1:9" x14ac:dyDescent="0.2">
      <c r="A105" s="840" t="s">
        <v>222</v>
      </c>
      <c r="B105" s="841"/>
      <c r="C105" s="841"/>
      <c r="D105" s="842"/>
    </row>
    <row r="106" spans="1:9" ht="13.5" thickBot="1" x14ac:dyDescent="0.25">
      <c r="A106" s="843" t="s">
        <v>151</v>
      </c>
      <c r="B106" s="844"/>
      <c r="C106" s="845"/>
      <c r="D106" s="846"/>
    </row>
    <row r="109" spans="1:9" ht="15" x14ac:dyDescent="0.25">
      <c r="A109" s="1506" t="s">
        <v>589</v>
      </c>
      <c r="B109" s="1579"/>
      <c r="C109" s="1579"/>
      <c r="D109" s="1580"/>
      <c r="E109" s="1580"/>
      <c r="F109" s="1580"/>
      <c r="G109" s="1580"/>
    </row>
    <row r="110" spans="1:9" ht="13.5" thickBot="1" x14ac:dyDescent="0.25">
      <c r="A110" s="1496"/>
      <c r="B110" s="1426"/>
      <c r="C110" s="1426"/>
    </row>
    <row r="111" spans="1:9" ht="13.5" customHeight="1" x14ac:dyDescent="0.2">
      <c r="A111" s="1501"/>
      <c r="B111" s="1581" t="s">
        <v>517</v>
      </c>
      <c r="C111" s="1582"/>
      <c r="D111" s="1582"/>
      <c r="E111" s="1582"/>
      <c r="F111" s="1583"/>
      <c r="G111" s="1581" t="s">
        <v>518</v>
      </c>
      <c r="H111" s="1582"/>
      <c r="I111" s="1583"/>
    </row>
    <row r="112" spans="1:9" ht="38.25" x14ac:dyDescent="0.2">
      <c r="A112" s="1502"/>
      <c r="B112" s="847" t="s">
        <v>271</v>
      </c>
      <c r="C112" s="848" t="s">
        <v>572</v>
      </c>
      <c r="D112" s="848" t="s">
        <v>339</v>
      </c>
      <c r="E112" s="848" t="s">
        <v>210</v>
      </c>
      <c r="F112" s="7" t="s">
        <v>621</v>
      </c>
      <c r="G112" s="8" t="s">
        <v>93</v>
      </c>
      <c r="H112" s="9" t="s">
        <v>611</v>
      </c>
      <c r="I112" s="10" t="s">
        <v>56</v>
      </c>
    </row>
    <row r="113" spans="1:9" x14ac:dyDescent="0.2">
      <c r="A113" s="849" t="s">
        <v>389</v>
      </c>
      <c r="B113" s="850"/>
      <c r="C113" s="851">
        <v>2338258.2999999998</v>
      </c>
      <c r="D113" s="851"/>
      <c r="E113" s="852"/>
      <c r="F113" s="12"/>
      <c r="G113" s="13"/>
      <c r="H113" s="11"/>
      <c r="I113" s="14"/>
    </row>
    <row r="114" spans="1:9" ht="38.25" x14ac:dyDescent="0.2">
      <c r="A114" s="853" t="s">
        <v>625</v>
      </c>
      <c r="B114" s="854"/>
      <c r="C114" s="855">
        <v>82567.289999999994</v>
      </c>
      <c r="D114" s="856"/>
      <c r="E114" s="852"/>
      <c r="F114" s="12"/>
      <c r="G114" s="13"/>
      <c r="H114" s="15"/>
      <c r="I114" s="16"/>
    </row>
    <row r="115" spans="1:9" ht="53.25" customHeight="1" thickBot="1" x14ac:dyDescent="0.25">
      <c r="A115" s="857" t="s">
        <v>626</v>
      </c>
      <c r="B115" s="858"/>
      <c r="C115" s="859">
        <v>82567.289999999994</v>
      </c>
      <c r="D115" s="860"/>
      <c r="E115" s="861"/>
      <c r="F115" s="18"/>
      <c r="G115" s="19"/>
      <c r="H115" s="17"/>
      <c r="I115" s="20"/>
    </row>
    <row r="116" spans="1:9" ht="13.5" thickBot="1" x14ac:dyDescent="0.25">
      <c r="A116" s="862" t="s">
        <v>390</v>
      </c>
      <c r="B116" s="863">
        <f t="shared" ref="B116:I116" si="11">B113+B114-B115</f>
        <v>0</v>
      </c>
      <c r="C116" s="864">
        <f t="shared" si="11"/>
        <v>2338258.2999999998</v>
      </c>
      <c r="D116" s="864">
        <f t="shared" si="11"/>
        <v>0</v>
      </c>
      <c r="E116" s="865">
        <f t="shared" si="11"/>
        <v>0</v>
      </c>
      <c r="F116" s="22">
        <f t="shared" si="11"/>
        <v>0</v>
      </c>
      <c r="G116" s="23">
        <f t="shared" si="11"/>
        <v>0</v>
      </c>
      <c r="H116" s="21">
        <f t="shared" si="11"/>
        <v>0</v>
      </c>
      <c r="I116" s="22">
        <f t="shared" si="11"/>
        <v>0</v>
      </c>
    </row>
    <row r="119" spans="1:9" ht="15" customHeight="1" x14ac:dyDescent="0.25">
      <c r="A119" s="1506" t="s">
        <v>588</v>
      </c>
      <c r="B119" s="1560"/>
      <c r="C119" s="1560"/>
    </row>
    <row r="120" spans="1:9" ht="13.5" thickBot="1" x14ac:dyDescent="0.25">
      <c r="A120" s="1496"/>
      <c r="B120" s="1426"/>
      <c r="C120" s="1426"/>
    </row>
    <row r="121" spans="1:9" x14ac:dyDescent="0.2">
      <c r="A121" s="866" t="s">
        <v>36</v>
      </c>
      <c r="B121" s="835" t="s">
        <v>389</v>
      </c>
      <c r="C121" s="836" t="s">
        <v>390</v>
      </c>
    </row>
    <row r="122" spans="1:9" ht="26.25" thickBot="1" x14ac:dyDescent="0.25">
      <c r="A122" s="867" t="s">
        <v>519</v>
      </c>
      <c r="B122" s="868">
        <f>20579794.9-6682174.82</f>
        <v>13897620.079999998</v>
      </c>
      <c r="C122" s="868">
        <f>20579794.9-7196669.7</f>
        <v>13383125.199999999</v>
      </c>
    </row>
    <row r="126" spans="1:9" ht="50.25" customHeight="1" x14ac:dyDescent="0.25">
      <c r="A126" s="1506" t="s">
        <v>601</v>
      </c>
      <c r="B126" s="1560"/>
      <c r="C126" s="1560"/>
      <c r="D126" s="1576"/>
    </row>
    <row r="127" spans="1:9" ht="13.5" thickBot="1" x14ac:dyDescent="0.25">
      <c r="A127" s="1496"/>
      <c r="B127" s="1426"/>
      <c r="C127" s="1426"/>
    </row>
    <row r="128" spans="1:9" x14ac:dyDescent="0.2">
      <c r="A128" s="1577" t="s">
        <v>156</v>
      </c>
      <c r="B128" s="1578"/>
      <c r="C128" s="835" t="s">
        <v>389</v>
      </c>
      <c r="D128" s="836" t="s">
        <v>390</v>
      </c>
    </row>
    <row r="129" spans="1:4" ht="66" customHeight="1" x14ac:dyDescent="0.2">
      <c r="A129" s="1509" t="s">
        <v>520</v>
      </c>
      <c r="B129" s="1510"/>
      <c r="C129" s="838">
        <f>SUM(C131:C135)</f>
        <v>0</v>
      </c>
      <c r="D129" s="839">
        <f>SUM(D131:D135)</f>
        <v>0</v>
      </c>
    </row>
    <row r="130" spans="1:4" x14ac:dyDescent="0.2">
      <c r="A130" s="1507" t="s">
        <v>222</v>
      </c>
      <c r="B130" s="1508"/>
      <c r="C130" s="869"/>
      <c r="D130" s="870"/>
    </row>
    <row r="131" spans="1:4" x14ac:dyDescent="0.2">
      <c r="A131" s="1584" t="s">
        <v>30</v>
      </c>
      <c r="B131" s="1585"/>
      <c r="C131" s="871"/>
      <c r="D131" s="872"/>
    </row>
    <row r="132" spans="1:4" x14ac:dyDescent="0.2">
      <c r="A132" s="1499" t="s">
        <v>498</v>
      </c>
      <c r="B132" s="1500"/>
      <c r="C132" s="838"/>
      <c r="D132" s="839"/>
    </row>
    <row r="133" spans="1:4" x14ac:dyDescent="0.2">
      <c r="A133" s="1499" t="s">
        <v>277</v>
      </c>
      <c r="B133" s="1500"/>
      <c r="C133" s="838"/>
      <c r="D133" s="839"/>
    </row>
    <row r="134" spans="1:4" x14ac:dyDescent="0.2">
      <c r="A134" s="1499" t="s">
        <v>280</v>
      </c>
      <c r="B134" s="1500"/>
      <c r="C134" s="838"/>
      <c r="D134" s="839"/>
    </row>
    <row r="135" spans="1:4" ht="13.5" thickBot="1" x14ac:dyDescent="0.25">
      <c r="A135" s="1512" t="s">
        <v>281</v>
      </c>
      <c r="B135" s="1513"/>
      <c r="C135" s="873"/>
      <c r="D135" s="874"/>
    </row>
    <row r="153" spans="1:9" ht="15" x14ac:dyDescent="0.2">
      <c r="A153" s="1550" t="s">
        <v>573</v>
      </c>
      <c r="B153" s="1551"/>
      <c r="C153" s="1551"/>
      <c r="D153" s="1551"/>
      <c r="E153" s="1551"/>
      <c r="F153" s="1551"/>
      <c r="G153" s="1551"/>
      <c r="H153" s="1551"/>
      <c r="I153" s="1551"/>
    </row>
    <row r="154" spans="1:9" ht="13.5" thickBot="1" x14ac:dyDescent="0.25">
      <c r="B154" s="875"/>
      <c r="C154" s="875"/>
      <c r="D154" s="875"/>
      <c r="E154" s="875" t="s">
        <v>61</v>
      </c>
      <c r="F154" s="58"/>
      <c r="G154" s="58"/>
      <c r="H154" s="58"/>
      <c r="I154" s="58"/>
    </row>
    <row r="155" spans="1:9" ht="109.15" customHeight="1" thickBot="1" x14ac:dyDescent="0.25">
      <c r="A155" s="1492"/>
      <c r="B155" s="1552"/>
      <c r="C155" s="59" t="s">
        <v>521</v>
      </c>
      <c r="D155" s="876" t="s">
        <v>90</v>
      </c>
      <c r="E155" s="59" t="s">
        <v>586</v>
      </c>
      <c r="F155" s="25" t="s">
        <v>587</v>
      </c>
      <c r="G155" s="24" t="s">
        <v>612</v>
      </c>
      <c r="H155" s="60" t="s">
        <v>705</v>
      </c>
      <c r="I155" s="299" t="s">
        <v>706</v>
      </c>
    </row>
    <row r="156" spans="1:9" x14ac:dyDescent="0.2">
      <c r="A156" s="1494" t="s">
        <v>390</v>
      </c>
      <c r="B156" s="1495"/>
      <c r="C156" s="877"/>
      <c r="D156" s="878"/>
      <c r="E156" s="877"/>
      <c r="F156" s="26"/>
      <c r="G156" s="27"/>
      <c r="H156" s="27"/>
      <c r="I156" s="28"/>
    </row>
    <row r="157" spans="1:9" x14ac:dyDescent="0.2">
      <c r="A157" s="879"/>
      <c r="B157" s="880" t="s">
        <v>91</v>
      </c>
      <c r="C157" s="881"/>
      <c r="D157" s="882"/>
      <c r="E157" s="881"/>
      <c r="F157" s="29"/>
      <c r="G157" s="30"/>
      <c r="H157" s="30"/>
      <c r="I157" s="31"/>
    </row>
    <row r="158" spans="1:9" x14ac:dyDescent="0.2">
      <c r="A158" s="883" t="s">
        <v>200</v>
      </c>
      <c r="B158" s="884"/>
      <c r="C158" s="885"/>
      <c r="D158" s="886"/>
      <c r="E158" s="887"/>
      <c r="F158" s="32"/>
      <c r="G158" s="33"/>
      <c r="H158" s="33"/>
      <c r="I158" s="12"/>
    </row>
    <row r="159" spans="1:9" x14ac:dyDescent="0.2">
      <c r="A159" s="883" t="s">
        <v>201</v>
      </c>
      <c r="B159" s="884"/>
      <c r="C159" s="885"/>
      <c r="D159" s="886"/>
      <c r="E159" s="887"/>
      <c r="F159" s="32"/>
      <c r="G159" s="33"/>
      <c r="H159" s="33"/>
      <c r="I159" s="12"/>
    </row>
    <row r="160" spans="1:9" ht="13.5" thickBot="1" x14ac:dyDescent="0.25">
      <c r="A160" s="888" t="s">
        <v>92</v>
      </c>
      <c r="B160" s="889"/>
      <c r="C160" s="890"/>
      <c r="D160" s="891"/>
      <c r="E160" s="892"/>
      <c r="F160" s="34"/>
      <c r="G160" s="35"/>
      <c r="H160" s="35"/>
      <c r="I160" s="36"/>
    </row>
    <row r="161" spans="1:17" ht="13.5" thickBot="1" x14ac:dyDescent="0.25">
      <c r="A161" s="893"/>
      <c r="B161" s="894" t="s">
        <v>336</v>
      </c>
      <c r="C161" s="895"/>
      <c r="D161" s="895"/>
      <c r="E161" s="895">
        <f>SUM(E158:E160)</f>
        <v>0</v>
      </c>
      <c r="F161" s="37">
        <f>SUM(F158:F160)</f>
        <v>0</v>
      </c>
      <c r="G161" s="37">
        <f>SUM(G158:G160)</f>
        <v>0</v>
      </c>
      <c r="H161" s="37"/>
      <c r="I161" s="37"/>
    </row>
    <row r="162" spans="1:17" ht="105.6" customHeight="1" thickBot="1" x14ac:dyDescent="0.25">
      <c r="A162" s="1492"/>
      <c r="B162" s="1493"/>
      <c r="C162" s="59" t="s">
        <v>521</v>
      </c>
      <c r="D162" s="876" t="s">
        <v>90</v>
      </c>
      <c r="E162" s="59" t="s">
        <v>586</v>
      </c>
      <c r="F162" s="25" t="s">
        <v>587</v>
      </c>
      <c r="G162" s="24" t="s">
        <v>612</v>
      </c>
      <c r="H162" s="24" t="s">
        <v>680</v>
      </c>
      <c r="I162" s="24" t="s">
        <v>613</v>
      </c>
    </row>
    <row r="163" spans="1:17" x14ac:dyDescent="0.2">
      <c r="A163" s="1494" t="s">
        <v>389</v>
      </c>
      <c r="B163" s="1511"/>
      <c r="C163" s="896"/>
      <c r="D163" s="897"/>
      <c r="E163" s="896"/>
      <c r="F163" s="38"/>
      <c r="G163" s="39"/>
      <c r="H163" s="39"/>
      <c r="I163" s="40"/>
    </row>
    <row r="164" spans="1:17" x14ac:dyDescent="0.2">
      <c r="A164" s="898"/>
      <c r="B164" s="899" t="s">
        <v>91</v>
      </c>
      <c r="C164" s="881"/>
      <c r="D164" s="882"/>
      <c r="E164" s="881"/>
      <c r="F164" s="29"/>
      <c r="G164" s="30"/>
      <c r="H164" s="30"/>
      <c r="I164" s="31"/>
    </row>
    <row r="165" spans="1:17" x14ac:dyDescent="0.2">
      <c r="A165" s="883" t="s">
        <v>200</v>
      </c>
      <c r="B165" s="884"/>
      <c r="C165" s="885"/>
      <c r="D165" s="886"/>
      <c r="E165" s="887"/>
      <c r="F165" s="32"/>
      <c r="G165" s="33"/>
      <c r="H165" s="33"/>
      <c r="I165" s="12"/>
    </row>
    <row r="166" spans="1:17" x14ac:dyDescent="0.2">
      <c r="A166" s="883" t="s">
        <v>201</v>
      </c>
      <c r="B166" s="884"/>
      <c r="C166" s="885"/>
      <c r="D166" s="886"/>
      <c r="E166" s="887"/>
      <c r="F166" s="32"/>
      <c r="G166" s="33"/>
      <c r="H166" s="33"/>
      <c r="I166" s="12"/>
    </row>
    <row r="167" spans="1:17" ht="13.5" thickBot="1" x14ac:dyDescent="0.25">
      <c r="A167" s="888" t="s">
        <v>92</v>
      </c>
      <c r="B167" s="889"/>
      <c r="C167" s="890"/>
      <c r="D167" s="891"/>
      <c r="E167" s="892"/>
      <c r="F167" s="34"/>
      <c r="G167" s="35"/>
      <c r="H167" s="35"/>
      <c r="I167" s="36"/>
    </row>
    <row r="168" spans="1:17" ht="13.5" thickBot="1" x14ac:dyDescent="0.25">
      <c r="A168" s="893"/>
      <c r="B168" s="894" t="s">
        <v>336</v>
      </c>
      <c r="C168" s="895"/>
      <c r="D168" s="900"/>
      <c r="E168" s="895">
        <f>SUM(E165:E167)</f>
        <v>0</v>
      </c>
      <c r="F168" s="37">
        <f>SUM(F165:F167)</f>
        <v>0</v>
      </c>
      <c r="G168" s="37">
        <f>SUM(G165:G167)</f>
        <v>0</v>
      </c>
      <c r="H168" s="37"/>
      <c r="I168" s="41"/>
    </row>
    <row r="170" spans="1:17" x14ac:dyDescent="0.2">
      <c r="E170" s="901"/>
      <c r="F170" s="728"/>
      <c r="G170" s="728"/>
      <c r="H170" s="728"/>
    </row>
    <row r="171" spans="1:17" x14ac:dyDescent="0.2">
      <c r="A171" s="1395" t="s">
        <v>622</v>
      </c>
      <c r="B171" s="1565"/>
      <c r="C171" s="1565"/>
      <c r="D171" s="1565"/>
      <c r="E171" s="1565"/>
      <c r="F171" s="1565"/>
      <c r="G171" s="1565"/>
      <c r="H171" s="1565"/>
      <c r="I171" s="1565"/>
    </row>
    <row r="172" spans="1:17" ht="13.5" thickBot="1" x14ac:dyDescent="0.25">
      <c r="A172" s="902"/>
      <c r="B172" s="902"/>
      <c r="C172" s="902"/>
      <c r="D172" s="902"/>
      <c r="E172" s="902"/>
      <c r="F172" s="42"/>
      <c r="G172" s="42"/>
      <c r="H172" s="42"/>
      <c r="I172" s="42"/>
    </row>
    <row r="173" spans="1:17" ht="13.5" thickBot="1" x14ac:dyDescent="0.25">
      <c r="A173" s="1469" t="s">
        <v>468</v>
      </c>
      <c r="B173" s="1566"/>
      <c r="C173" s="1566"/>
      <c r="D173" s="1470"/>
      <c r="E173" s="1570" t="s">
        <v>389</v>
      </c>
      <c r="F173" s="1572" t="s">
        <v>469</v>
      </c>
      <c r="G173" s="1573"/>
      <c r="H173" s="1574"/>
      <c r="I173" s="1396" t="s">
        <v>390</v>
      </c>
      <c r="L173" s="80"/>
      <c r="M173" s="80"/>
      <c r="N173" s="80"/>
      <c r="O173" s="80"/>
      <c r="P173" s="80"/>
      <c r="Q173" s="80"/>
    </row>
    <row r="174" spans="1:17" ht="13.5" thickBot="1" x14ac:dyDescent="0.25">
      <c r="A174" s="1567"/>
      <c r="B174" s="1568"/>
      <c r="C174" s="1568"/>
      <c r="D174" s="1569"/>
      <c r="E174" s="1571"/>
      <c r="F174" s="43" t="s">
        <v>80</v>
      </c>
      <c r="G174" s="44" t="s">
        <v>523</v>
      </c>
      <c r="H174" s="43" t="s">
        <v>524</v>
      </c>
      <c r="I174" s="1575"/>
      <c r="L174" s="1095"/>
      <c r="M174" s="80"/>
      <c r="N174" s="1095"/>
      <c r="O174" s="80"/>
      <c r="P174" s="1096"/>
      <c r="Q174" s="80"/>
    </row>
    <row r="175" spans="1:17" x14ac:dyDescent="0.2">
      <c r="A175" s="903">
        <v>1</v>
      </c>
      <c r="B175" s="1553" t="s">
        <v>964</v>
      </c>
      <c r="C175" s="1554"/>
      <c r="D175" s="1555"/>
      <c r="E175" s="1275">
        <v>0</v>
      </c>
      <c r="F175" s="45">
        <v>0</v>
      </c>
      <c r="G175" s="45">
        <v>0</v>
      </c>
      <c r="H175" s="45">
        <v>0</v>
      </c>
      <c r="I175" s="46">
        <f>E175+F175-G175-H175</f>
        <v>0</v>
      </c>
      <c r="L175" s="1095"/>
      <c r="M175" s="80"/>
      <c r="N175" s="1095"/>
      <c r="O175" s="80"/>
      <c r="P175" s="1096"/>
      <c r="Q175" s="80"/>
    </row>
    <row r="176" spans="1:17" x14ac:dyDescent="0.2">
      <c r="A176" s="904"/>
      <c r="B176" s="1658" t="s">
        <v>707</v>
      </c>
      <c r="C176" s="1659"/>
      <c r="D176" s="1660"/>
      <c r="E176" s="905">
        <v>0</v>
      </c>
      <c r="F176" s="47">
        <v>0</v>
      </c>
      <c r="G176" s="47">
        <v>0</v>
      </c>
      <c r="H176" s="47">
        <v>0</v>
      </c>
      <c r="I176" s="48">
        <f>E176+F176-G176-H176</f>
        <v>0</v>
      </c>
      <c r="L176" s="1096"/>
      <c r="M176" s="80"/>
      <c r="N176" s="1096"/>
      <c r="O176" s="80"/>
      <c r="P176" s="80"/>
      <c r="Q176" s="80"/>
    </row>
    <row r="177" spans="1:17" x14ac:dyDescent="0.2">
      <c r="A177" s="906" t="s">
        <v>402</v>
      </c>
      <c r="B177" s="1655" t="s">
        <v>965</v>
      </c>
      <c r="C177" s="1656"/>
      <c r="D177" s="1657"/>
      <c r="E177" s="907">
        <v>28494072.91</v>
      </c>
      <c r="F177" s="121">
        <f>'[1]Odpisy aktualiz doch+wydat'!$F$13+'[1]Odpisy aktualiz doch+wydat'!$F$16</f>
        <v>9786354.1899999995</v>
      </c>
      <c r="G177" s="121">
        <f>'[1]Odpisy aktualiz doch+wydat'!$G$13+'[1]Odpisy aktualiz doch+wydat'!$G$16</f>
        <v>8768188.9399999995</v>
      </c>
      <c r="H177" s="121">
        <f>'[1]Odpisy aktualiz doch+wydat'!$H$13+'[1]Odpisy aktualiz doch+wydat'!$H$16</f>
        <v>10335034.33</v>
      </c>
      <c r="I177" s="717">
        <f>E177+F177-G177-H177</f>
        <v>19177203.830000006</v>
      </c>
      <c r="K177" s="116"/>
      <c r="L177" s="1095"/>
      <c r="M177" s="80"/>
      <c r="N177" s="1095"/>
      <c r="O177" s="80"/>
      <c r="P177" s="1096"/>
      <c r="Q177" s="80"/>
    </row>
    <row r="178" spans="1:17" x14ac:dyDescent="0.2">
      <c r="A178" s="906"/>
      <c r="B178" s="1658" t="s">
        <v>708</v>
      </c>
      <c r="C178" s="1659"/>
      <c r="D178" s="1660"/>
      <c r="E178" s="908">
        <v>0</v>
      </c>
      <c r="F178" s="49">
        <v>0</v>
      </c>
      <c r="G178" s="49">
        <v>0</v>
      </c>
      <c r="H178" s="49">
        <v>0</v>
      </c>
      <c r="I178" s="49">
        <f>E178+F178-G178-H178</f>
        <v>0</v>
      </c>
      <c r="L178" s="1095"/>
      <c r="M178" s="80"/>
      <c r="N178" s="1095"/>
      <c r="O178" s="80"/>
      <c r="P178" s="1096"/>
      <c r="Q178" s="80"/>
    </row>
    <row r="179" spans="1:17" ht="13.5" thickBot="1" x14ac:dyDescent="0.25">
      <c r="A179" s="909" t="s">
        <v>404</v>
      </c>
      <c r="B179" s="1655" t="s">
        <v>474</v>
      </c>
      <c r="C179" s="1656"/>
      <c r="D179" s="1657"/>
      <c r="E179" s="907">
        <v>21247807.66</v>
      </c>
      <c r="F179" s="778">
        <f>'[1]Odpisy aktualiz doch+wydat'!$F$15</f>
        <v>21678373.870000001</v>
      </c>
      <c r="G179" s="778">
        <v>0</v>
      </c>
      <c r="H179" s="778">
        <f>'[1]Odpisy aktualiz doch+wydat'!$H$15</f>
        <v>21247807.66</v>
      </c>
      <c r="I179" s="718">
        <f>E179+F179-G179-H179</f>
        <v>21678373.870000001</v>
      </c>
    </row>
    <row r="180" spans="1:17" ht="13.5" thickBot="1" x14ac:dyDescent="0.25">
      <c r="A180" s="1661" t="s">
        <v>232</v>
      </c>
      <c r="B180" s="1662"/>
      <c r="C180" s="1662"/>
      <c r="D180" s="1663"/>
      <c r="E180" s="1276">
        <f>E175+E177+E179</f>
        <v>49741880.57</v>
      </c>
      <c r="F180" s="1276">
        <f t="shared" ref="F180:I180" si="12">F175+F177+F179</f>
        <v>31464728.060000002</v>
      </c>
      <c r="G180" s="1276">
        <f t="shared" si="12"/>
        <v>8768188.9399999995</v>
      </c>
      <c r="H180" s="1276">
        <f t="shared" si="12"/>
        <v>31582841.990000002</v>
      </c>
      <c r="I180" s="963">
        <f t="shared" si="12"/>
        <v>40855577.700000003</v>
      </c>
      <c r="L180" s="1095"/>
      <c r="N180" s="1095"/>
    </row>
    <row r="181" spans="1:17" x14ac:dyDescent="0.2">
      <c r="A181" s="1"/>
      <c r="B181" s="1"/>
      <c r="C181" s="1"/>
      <c r="D181" s="1"/>
      <c r="E181" s="1"/>
      <c r="F181" s="1"/>
      <c r="G181" s="1"/>
      <c r="H181" s="1"/>
      <c r="I181" s="737"/>
      <c r="L181" s="1095"/>
      <c r="N181" s="1095"/>
    </row>
    <row r="182" spans="1:17" x14ac:dyDescent="0.2">
      <c r="A182" s="108" t="s">
        <v>692</v>
      </c>
      <c r="B182" s="1"/>
      <c r="C182" s="1"/>
      <c r="D182" s="1"/>
      <c r="E182" s="1"/>
      <c r="F182" s="1"/>
      <c r="G182" s="1"/>
      <c r="H182" s="737"/>
      <c r="I182" s="737"/>
    </row>
    <row r="183" spans="1:17" x14ac:dyDescent="0.2">
      <c r="A183" s="108" t="s">
        <v>693</v>
      </c>
      <c r="B183" s="1"/>
      <c r="C183" s="1"/>
      <c r="D183" s="1"/>
      <c r="E183" s="1"/>
      <c r="F183" s="1"/>
      <c r="G183" s="1"/>
      <c r="H183" s="1"/>
      <c r="I183" s="737"/>
    </row>
    <row r="185" spans="1:17" ht="15" x14ac:dyDescent="0.2">
      <c r="A185" s="1486" t="s">
        <v>585</v>
      </c>
      <c r="B185" s="1486"/>
      <c r="C185" s="1486"/>
      <c r="D185" s="1486"/>
      <c r="E185" s="1486"/>
      <c r="F185" s="1486"/>
      <c r="G185" s="1486"/>
    </row>
    <row r="186" spans="1:17" ht="13.5" thickBot="1" x14ac:dyDescent="0.25">
      <c r="A186" s="910"/>
      <c r="B186" s="902"/>
      <c r="C186" s="902"/>
      <c r="D186" s="902"/>
      <c r="E186" s="902"/>
      <c r="F186" s="42"/>
      <c r="G186" s="42"/>
    </row>
    <row r="187" spans="1:17" ht="13.5" thickBot="1" x14ac:dyDescent="0.25">
      <c r="A187" s="1603" t="s">
        <v>212</v>
      </c>
      <c r="B187" s="1552"/>
      <c r="C187" s="809" t="s">
        <v>475</v>
      </c>
      <c r="D187" s="911" t="s">
        <v>105</v>
      </c>
      <c r="E187" s="912" t="s">
        <v>700</v>
      </c>
      <c r="F187" s="122" t="s">
        <v>701</v>
      </c>
      <c r="G187" s="779" t="s">
        <v>529</v>
      </c>
    </row>
    <row r="188" spans="1:17" ht="26.25" customHeight="1" x14ac:dyDescent="0.2">
      <c r="A188" s="1449" t="s">
        <v>106</v>
      </c>
      <c r="B188" s="1487"/>
      <c r="C188" s="913"/>
      <c r="D188" s="913"/>
      <c r="E188" s="913"/>
      <c r="F188" s="50"/>
      <c r="G188" s="786">
        <f>C188+D188-E188-F188</f>
        <v>0</v>
      </c>
    </row>
    <row r="189" spans="1:17" ht="25.5" customHeight="1" x14ac:dyDescent="0.2">
      <c r="A189" s="1455" t="s">
        <v>451</v>
      </c>
      <c r="B189" s="1472"/>
      <c r="C189" s="914"/>
      <c r="D189" s="914"/>
      <c r="E189" s="914"/>
      <c r="F189" s="51"/>
      <c r="G189" s="787">
        <f t="shared" ref="G189:G196" si="13">C189+D189-E189-F189</f>
        <v>0</v>
      </c>
    </row>
    <row r="190" spans="1:17" ht="12.75" customHeight="1" x14ac:dyDescent="0.2">
      <c r="A190" s="1455" t="s">
        <v>452</v>
      </c>
      <c r="B190" s="1472"/>
      <c r="C190" s="914"/>
      <c r="D190" s="914"/>
      <c r="E190" s="914"/>
      <c r="F190" s="51"/>
      <c r="G190" s="787">
        <f t="shared" si="13"/>
        <v>0</v>
      </c>
    </row>
    <row r="191" spans="1:17" ht="12.75" customHeight="1" x14ac:dyDescent="0.2">
      <c r="A191" s="1455" t="s">
        <v>453</v>
      </c>
      <c r="B191" s="1472"/>
      <c r="C191" s="914"/>
      <c r="D191" s="914"/>
      <c r="E191" s="914"/>
      <c r="F191" s="51"/>
      <c r="G191" s="787">
        <f t="shared" si="13"/>
        <v>0</v>
      </c>
    </row>
    <row r="192" spans="1:17" ht="38.25" customHeight="1" x14ac:dyDescent="0.2">
      <c r="A192" s="1455" t="s">
        <v>688</v>
      </c>
      <c r="B192" s="1472"/>
      <c r="C192" s="914"/>
      <c r="D192" s="914"/>
      <c r="E192" s="914"/>
      <c r="F192" s="51"/>
      <c r="G192" s="787">
        <f t="shared" si="13"/>
        <v>0</v>
      </c>
    </row>
    <row r="193" spans="1:7" ht="32.25" customHeight="1" x14ac:dyDescent="0.2">
      <c r="A193" s="1455" t="s">
        <v>454</v>
      </c>
      <c r="B193" s="1472"/>
      <c r="C193" s="914"/>
      <c r="D193" s="914"/>
      <c r="E193" s="914"/>
      <c r="F193" s="51"/>
      <c r="G193" s="787">
        <f t="shared" si="13"/>
        <v>0</v>
      </c>
    </row>
    <row r="194" spans="1:7" ht="12.75" customHeight="1" x14ac:dyDescent="0.2">
      <c r="A194" s="1455" t="s">
        <v>455</v>
      </c>
      <c r="B194" s="1472"/>
      <c r="C194" s="914"/>
      <c r="D194" s="914"/>
      <c r="E194" s="914"/>
      <c r="F194" s="51"/>
      <c r="G194" s="787">
        <f t="shared" si="13"/>
        <v>0</v>
      </c>
    </row>
    <row r="195" spans="1:7" ht="24.75" customHeight="1" thickBot="1" x14ac:dyDescent="0.25">
      <c r="A195" s="1455" t="s">
        <v>966</v>
      </c>
      <c r="B195" s="1472"/>
      <c r="C195" s="914"/>
      <c r="D195" s="914"/>
      <c r="E195" s="914"/>
      <c r="F195" s="51"/>
      <c r="G195" s="787">
        <f t="shared" si="13"/>
        <v>0</v>
      </c>
    </row>
    <row r="196" spans="1:7" ht="27.75" customHeight="1" thickBot="1" x14ac:dyDescent="0.25">
      <c r="A196" s="1355" t="s">
        <v>967</v>
      </c>
      <c r="B196" s="1473"/>
      <c r="C196" s="915"/>
      <c r="D196" s="915"/>
      <c r="E196" s="915"/>
      <c r="F196" s="52"/>
      <c r="G196" s="788">
        <f t="shared" si="13"/>
        <v>0</v>
      </c>
    </row>
    <row r="197" spans="1:7" x14ac:dyDescent="0.2">
      <c r="A197" s="1664" t="s">
        <v>689</v>
      </c>
      <c r="B197" s="1665"/>
      <c r="C197" s="916">
        <f>SUM(C198:C217)</f>
        <v>4351209.5</v>
      </c>
      <c r="D197" s="916">
        <f>SUM(D198:D217)</f>
        <v>47865237.759999998</v>
      </c>
      <c r="E197" s="916">
        <f>SUM(E198:E217)</f>
        <v>0</v>
      </c>
      <c r="F197" s="53">
        <f>SUM(F198:F217)</f>
        <v>67300</v>
      </c>
      <c r="G197" s="1088">
        <f>SUM(G198:G217)</f>
        <v>52149147.259999998</v>
      </c>
    </row>
    <row r="198" spans="1:7" x14ac:dyDescent="0.2">
      <c r="A198" s="1366" t="s">
        <v>0</v>
      </c>
      <c r="B198" s="1472"/>
      <c r="C198" s="1250">
        <v>553550</v>
      </c>
      <c r="D198" s="1251">
        <v>228500</v>
      </c>
      <c r="E198" s="1250"/>
      <c r="F198" s="1251">
        <f>50000+17300</f>
        <v>67300</v>
      </c>
      <c r="G198" s="1252">
        <f t="shared" ref="G198:G217" si="14">C198+D198-E198-F198</f>
        <v>714750</v>
      </c>
    </row>
    <row r="199" spans="1:7" ht="12.75" customHeight="1" x14ac:dyDescent="0.2">
      <c r="A199" s="1366" t="s">
        <v>26</v>
      </c>
      <c r="B199" s="1472"/>
      <c r="C199" s="1250">
        <v>0</v>
      </c>
      <c r="D199" s="1251"/>
      <c r="E199" s="1250"/>
      <c r="F199" s="1251"/>
      <c r="G199" s="1252">
        <f t="shared" si="14"/>
        <v>0</v>
      </c>
    </row>
    <row r="200" spans="1:7" ht="13.5" customHeight="1" x14ac:dyDescent="0.2">
      <c r="A200" s="1366" t="s">
        <v>1</v>
      </c>
      <c r="B200" s="1472"/>
      <c r="C200" s="1250">
        <v>50297</v>
      </c>
      <c r="D200" s="1130">
        <v>8726.5</v>
      </c>
      <c r="E200" s="1250"/>
      <c r="F200" s="1130"/>
      <c r="G200" s="1252">
        <f t="shared" si="14"/>
        <v>59023.5</v>
      </c>
    </row>
    <row r="201" spans="1:7" ht="43.5" customHeight="1" x14ac:dyDescent="0.2">
      <c r="A201" s="1481" t="s">
        <v>709</v>
      </c>
      <c r="B201" s="1472"/>
      <c r="C201" s="1250">
        <v>0</v>
      </c>
      <c r="D201" s="1251"/>
      <c r="E201" s="1250"/>
      <c r="F201" s="1251"/>
      <c r="G201" s="1252">
        <f t="shared" si="14"/>
        <v>0</v>
      </c>
    </row>
    <row r="202" spans="1:7" ht="12.75" customHeight="1" x14ac:dyDescent="0.2">
      <c r="A202" s="1372" t="s">
        <v>2</v>
      </c>
      <c r="B202" s="1472"/>
      <c r="C202" s="1250">
        <v>0</v>
      </c>
      <c r="D202" s="1251"/>
      <c r="E202" s="1250"/>
      <c r="F202" s="1251"/>
      <c r="G202" s="1252">
        <f t="shared" si="14"/>
        <v>0</v>
      </c>
    </row>
    <row r="203" spans="1:7" ht="12.75" customHeight="1" x14ac:dyDescent="0.2">
      <c r="A203" s="1372" t="s">
        <v>3</v>
      </c>
      <c r="B203" s="1472"/>
      <c r="C203" s="1250">
        <v>0</v>
      </c>
      <c r="D203" s="1251"/>
      <c r="E203" s="1250"/>
      <c r="F203" s="1251"/>
      <c r="G203" s="1252">
        <f t="shared" si="14"/>
        <v>0</v>
      </c>
    </row>
    <row r="204" spans="1:7" ht="12.75" customHeight="1" x14ac:dyDescent="0.2">
      <c r="A204" s="1372" t="s">
        <v>4</v>
      </c>
      <c r="B204" s="1472"/>
      <c r="C204" s="1250">
        <v>2157344</v>
      </c>
      <c r="D204" s="1251"/>
      <c r="E204" s="1250"/>
      <c r="F204" s="1251"/>
      <c r="G204" s="1252">
        <f t="shared" si="14"/>
        <v>2157344</v>
      </c>
    </row>
    <row r="205" spans="1:7" ht="27" customHeight="1" x14ac:dyDescent="0.2">
      <c r="A205" s="1372" t="s">
        <v>5</v>
      </c>
      <c r="B205" s="1472"/>
      <c r="C205" s="1250">
        <v>0</v>
      </c>
      <c r="D205" s="1251"/>
      <c r="E205" s="1250"/>
      <c r="F205" s="1251"/>
      <c r="G205" s="1252">
        <f t="shared" si="14"/>
        <v>0</v>
      </c>
    </row>
    <row r="206" spans="1:7" ht="12.75" customHeight="1" x14ac:dyDescent="0.2">
      <c r="A206" s="1372" t="s">
        <v>6</v>
      </c>
      <c r="B206" s="1472"/>
      <c r="C206" s="1250">
        <v>0</v>
      </c>
      <c r="D206" s="1251"/>
      <c r="E206" s="1250"/>
      <c r="F206" s="1251"/>
      <c r="G206" s="1252">
        <f t="shared" si="14"/>
        <v>0</v>
      </c>
    </row>
    <row r="207" spans="1:7" ht="12.75" customHeight="1" x14ac:dyDescent="0.2">
      <c r="A207" s="1372" t="s">
        <v>7</v>
      </c>
      <c r="B207" s="1472"/>
      <c r="C207" s="1250">
        <v>0</v>
      </c>
      <c r="D207" s="1251"/>
      <c r="E207" s="1250"/>
      <c r="F207" s="1251"/>
      <c r="G207" s="1252">
        <f t="shared" si="14"/>
        <v>0</v>
      </c>
    </row>
    <row r="208" spans="1:7" ht="12.75" customHeight="1" x14ac:dyDescent="0.2">
      <c r="A208" s="1372" t="s">
        <v>8</v>
      </c>
      <c r="B208" s="1472"/>
      <c r="C208" s="1250">
        <v>0</v>
      </c>
      <c r="D208" s="1251"/>
      <c r="E208" s="1250"/>
      <c r="F208" s="1251"/>
      <c r="G208" s="1252">
        <f t="shared" si="14"/>
        <v>0</v>
      </c>
    </row>
    <row r="209" spans="1:7" x14ac:dyDescent="0.2">
      <c r="A209" s="1372" t="s">
        <v>9</v>
      </c>
      <c r="B209" s="1472"/>
      <c r="C209" s="1250">
        <v>0</v>
      </c>
      <c r="D209" s="1251"/>
      <c r="E209" s="1250"/>
      <c r="F209" s="1251"/>
      <c r="G209" s="1252">
        <f t="shared" si="14"/>
        <v>0</v>
      </c>
    </row>
    <row r="210" spans="1:7" x14ac:dyDescent="0.2">
      <c r="A210" s="1372" t="s">
        <v>10</v>
      </c>
      <c r="B210" s="1472"/>
      <c r="C210" s="1250">
        <v>0</v>
      </c>
      <c r="D210" s="1251"/>
      <c r="E210" s="1250"/>
      <c r="F210" s="1251"/>
      <c r="G210" s="1252">
        <f t="shared" si="14"/>
        <v>0</v>
      </c>
    </row>
    <row r="211" spans="1:7" x14ac:dyDescent="0.2">
      <c r="A211" s="1474" t="s">
        <v>16</v>
      </c>
      <c r="B211" s="1472"/>
      <c r="C211" s="1250">
        <v>0</v>
      </c>
      <c r="D211" s="1251"/>
      <c r="E211" s="1250"/>
      <c r="F211" s="1251"/>
      <c r="G211" s="1252">
        <f>C211+D211-E211-F211</f>
        <v>0</v>
      </c>
    </row>
    <row r="212" spans="1:7" x14ac:dyDescent="0.2">
      <c r="A212" s="1474" t="s">
        <v>17</v>
      </c>
      <c r="B212" s="1472"/>
      <c r="C212" s="1250">
        <v>146268.5</v>
      </c>
      <c r="D212" s="1251">
        <v>1015590.26</v>
      </c>
      <c r="E212" s="1250"/>
      <c r="F212" s="1251"/>
      <c r="G212" s="1252">
        <f>C212+D212-E212-F212</f>
        <v>1161858.76</v>
      </c>
    </row>
    <row r="213" spans="1:7" ht="27.75" customHeight="1" x14ac:dyDescent="0.2">
      <c r="A213" s="1481" t="s">
        <v>18</v>
      </c>
      <c r="B213" s="1472"/>
      <c r="C213" s="1250">
        <v>0</v>
      </c>
      <c r="D213" s="1251"/>
      <c r="E213" s="1250"/>
      <c r="F213" s="1251"/>
      <c r="G213" s="1252">
        <f t="shared" si="14"/>
        <v>0</v>
      </c>
    </row>
    <row r="214" spans="1:7" ht="26.25" customHeight="1" x14ac:dyDescent="0.2">
      <c r="A214" s="1481" t="s">
        <v>19</v>
      </c>
      <c r="B214" s="1472"/>
      <c r="C214" s="1250">
        <v>0</v>
      </c>
      <c r="D214" s="1251"/>
      <c r="E214" s="1250"/>
      <c r="F214" s="1251"/>
      <c r="G214" s="1252">
        <f t="shared" si="14"/>
        <v>0</v>
      </c>
    </row>
    <row r="215" spans="1:7" x14ac:dyDescent="0.2">
      <c r="A215" s="1474" t="s">
        <v>614</v>
      </c>
      <c r="B215" s="1472"/>
      <c r="C215" s="1250">
        <v>0</v>
      </c>
      <c r="D215" s="1251"/>
      <c r="E215" s="1250"/>
      <c r="F215" s="1251"/>
      <c r="G215" s="1252">
        <f t="shared" si="14"/>
        <v>0</v>
      </c>
    </row>
    <row r="216" spans="1:7" x14ac:dyDescent="0.2">
      <c r="A216" s="1474" t="s">
        <v>20</v>
      </c>
      <c r="B216" s="1472"/>
      <c r="C216" s="1250">
        <v>0</v>
      </c>
      <c r="D216" s="1251"/>
      <c r="E216" s="1250"/>
      <c r="F216" s="1251"/>
      <c r="G216" s="1252">
        <f t="shared" si="14"/>
        <v>0</v>
      </c>
    </row>
    <row r="217" spans="1:7" ht="13.5" thickBot="1" x14ac:dyDescent="0.25">
      <c r="A217" s="1358" t="s">
        <v>525</v>
      </c>
      <c r="B217" s="1483"/>
      <c r="C217" s="915">
        <v>1443750</v>
      </c>
      <c r="D217" s="52">
        <v>46612421</v>
      </c>
      <c r="E217" s="915"/>
      <c r="F217" s="52"/>
      <c r="G217" s="1089">
        <f t="shared" si="14"/>
        <v>48056171</v>
      </c>
    </row>
    <row r="218" spans="1:7" ht="13.5" thickBot="1" x14ac:dyDescent="0.25">
      <c r="A218" s="1482" t="s">
        <v>49</v>
      </c>
      <c r="B218" s="1589"/>
      <c r="C218" s="1090">
        <f>SUM(C188:C197)</f>
        <v>4351209.5</v>
      </c>
      <c r="D218" s="1090">
        <f>SUM(D188:D197)</f>
        <v>47865237.759999998</v>
      </c>
      <c r="E218" s="1090">
        <f>SUM(E188:E197)</f>
        <v>0</v>
      </c>
      <c r="F218" s="1091">
        <f>SUM(F188:F197)</f>
        <v>67300</v>
      </c>
      <c r="G218" s="1092">
        <f>SUM(G188:G197)</f>
        <v>52149147.259999998</v>
      </c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109"/>
      <c r="B220" s="109"/>
      <c r="C220" s="109"/>
      <c r="D220" s="109"/>
      <c r="E220" s="109"/>
      <c r="F220" s="109"/>
      <c r="G220" s="109"/>
    </row>
    <row r="221" spans="1:7" ht="15" x14ac:dyDescent="0.2">
      <c r="A221" s="1550" t="s">
        <v>675</v>
      </c>
      <c r="B221" s="1550"/>
      <c r="C221" s="1550"/>
      <c r="D221" s="1595"/>
      <c r="E221" s="1551"/>
    </row>
    <row r="222" spans="1:7" ht="13.5" thickBot="1" x14ac:dyDescent="0.25">
      <c r="A222" s="1"/>
      <c r="B222" s="1"/>
      <c r="C222" s="1"/>
    </row>
    <row r="223" spans="1:7" ht="13.5" thickBot="1" x14ac:dyDescent="0.25">
      <c r="A223" s="1482" t="s">
        <v>156</v>
      </c>
      <c r="B223" s="1586"/>
      <c r="C223" s="808" t="s">
        <v>389</v>
      </c>
      <c r="D223" s="54" t="s">
        <v>390</v>
      </c>
    </row>
    <row r="224" spans="1:7" ht="13.5" thickBot="1" x14ac:dyDescent="0.25">
      <c r="A224" s="1482" t="s">
        <v>574</v>
      </c>
      <c r="B224" s="1586"/>
      <c r="C224" s="55">
        <f>SUM(C225:C227)</f>
        <v>0</v>
      </c>
      <c r="D224" s="55">
        <f>SUM(D225:D227)</f>
        <v>0</v>
      </c>
    </row>
    <row r="225" spans="1:4" x14ac:dyDescent="0.2">
      <c r="A225" s="1384" t="s">
        <v>526</v>
      </c>
      <c r="B225" s="1386"/>
      <c r="C225" s="919"/>
      <c r="D225" s="920"/>
    </row>
    <row r="226" spans="1:4" x14ac:dyDescent="0.2">
      <c r="A226" s="1372" t="s">
        <v>527</v>
      </c>
      <c r="B226" s="1374"/>
      <c r="C226" s="921"/>
      <c r="D226" s="800"/>
    </row>
    <row r="227" spans="1:4" ht="13.5" thickBot="1" x14ac:dyDescent="0.25">
      <c r="A227" s="1358" t="s">
        <v>528</v>
      </c>
      <c r="B227" s="1360"/>
      <c r="C227" s="921"/>
      <c r="D227" s="800"/>
    </row>
    <row r="228" spans="1:4" ht="26.25" customHeight="1" thickBot="1" x14ac:dyDescent="0.25">
      <c r="A228" s="1482" t="s">
        <v>575</v>
      </c>
      <c r="B228" s="1586"/>
      <c r="C228" s="56">
        <f>SUM(C229:C231)</f>
        <v>0</v>
      </c>
      <c r="D228" s="55">
        <f>SUM(D229:D231)</f>
        <v>0</v>
      </c>
    </row>
    <row r="229" spans="1:4" x14ac:dyDescent="0.2">
      <c r="A229" s="1384" t="s">
        <v>526</v>
      </c>
      <c r="B229" s="1386"/>
      <c r="C229" s="919"/>
      <c r="D229" s="920"/>
    </row>
    <row r="230" spans="1:4" x14ac:dyDescent="0.2">
      <c r="A230" s="1372" t="s">
        <v>527</v>
      </c>
      <c r="B230" s="1374"/>
      <c r="C230" s="921"/>
      <c r="D230" s="800"/>
    </row>
    <row r="231" spans="1:4" ht="13.5" thickBot="1" x14ac:dyDescent="0.25">
      <c r="A231" s="1358" t="s">
        <v>528</v>
      </c>
      <c r="B231" s="1360"/>
      <c r="C231" s="921"/>
      <c r="D231" s="800"/>
    </row>
    <row r="232" spans="1:4" ht="26.25" customHeight="1" thickBot="1" x14ac:dyDescent="0.25">
      <c r="A232" s="1482" t="s">
        <v>576</v>
      </c>
      <c r="B232" s="1586"/>
      <c r="C232" s="56">
        <f>SUM(C233:C235)</f>
        <v>0</v>
      </c>
      <c r="D232" s="922">
        <f>SUM(D233:D235)</f>
        <v>0</v>
      </c>
    </row>
    <row r="233" spans="1:4" x14ac:dyDescent="0.2">
      <c r="A233" s="1384" t="s">
        <v>526</v>
      </c>
      <c r="B233" s="1386"/>
      <c r="C233" s="919"/>
      <c r="D233" s="920"/>
    </row>
    <row r="234" spans="1:4" x14ac:dyDescent="0.2">
      <c r="A234" s="1372" t="s">
        <v>527</v>
      </c>
      <c r="B234" s="1374"/>
      <c r="C234" s="921"/>
      <c r="D234" s="800"/>
    </row>
    <row r="235" spans="1:4" ht="13.5" thickBot="1" x14ac:dyDescent="0.25">
      <c r="A235" s="1358" t="s">
        <v>528</v>
      </c>
      <c r="B235" s="1360"/>
      <c r="C235" s="921"/>
      <c r="D235" s="800"/>
    </row>
    <row r="236" spans="1:4" ht="13.5" thickBot="1" x14ac:dyDescent="0.25">
      <c r="A236" s="1482" t="s">
        <v>21</v>
      </c>
      <c r="B236" s="1586"/>
      <c r="C236" s="923">
        <f>C228+C232+C224</f>
        <v>0</v>
      </c>
      <c r="D236" s="923">
        <f>D228+D232+D224</f>
        <v>0</v>
      </c>
    </row>
    <row r="239" spans="1:4" ht="60.75" customHeight="1" x14ac:dyDescent="0.2">
      <c r="A239" s="1550" t="s">
        <v>623</v>
      </c>
      <c r="B239" s="1550"/>
      <c r="C239" s="1550"/>
      <c r="D239" s="1551"/>
    </row>
    <row r="240" spans="1:4" ht="13.5" thickBot="1" x14ac:dyDescent="0.25">
      <c r="A240" s="924"/>
      <c r="B240" s="924"/>
      <c r="C240" s="924"/>
    </row>
    <row r="241" spans="1:5" ht="13.5" thickBot="1" x14ac:dyDescent="0.25">
      <c r="A241" s="1440" t="s">
        <v>113</v>
      </c>
      <c r="B241" s="1441"/>
      <c r="C241" s="25" t="s">
        <v>475</v>
      </c>
      <c r="D241" s="59" t="s">
        <v>529</v>
      </c>
    </row>
    <row r="242" spans="1:5" ht="25.5" customHeight="1" x14ac:dyDescent="0.2">
      <c r="A242" s="1641" t="s">
        <v>530</v>
      </c>
      <c r="B242" s="1642"/>
      <c r="C242" s="81"/>
      <c r="D242" s="82"/>
    </row>
    <row r="243" spans="1:5" ht="26.25" customHeight="1" thickBot="1" x14ac:dyDescent="0.25">
      <c r="A243" s="1598" t="s">
        <v>531</v>
      </c>
      <c r="B243" s="1437"/>
      <c r="C243" s="925"/>
      <c r="D243" s="84"/>
    </row>
    <row r="244" spans="1:5" ht="13.5" thickBot="1" x14ac:dyDescent="0.25">
      <c r="A244" s="1620" t="s">
        <v>49</v>
      </c>
      <c r="B244" s="1622"/>
      <c r="C244" s="926">
        <f>SUM(C242:C243)</f>
        <v>0</v>
      </c>
      <c r="D244" s="55">
        <f>SUM(D242:D243)</f>
        <v>0</v>
      </c>
    </row>
    <row r="250" spans="1:5" ht="15" x14ac:dyDescent="0.2">
      <c r="A250" s="1550" t="s">
        <v>584</v>
      </c>
      <c r="B250" s="1550"/>
      <c r="C250" s="1550"/>
      <c r="D250" s="1550"/>
      <c r="E250" s="1550"/>
    </row>
    <row r="251" spans="1:5" ht="13.5" thickBot="1" x14ac:dyDescent="0.25"/>
    <row r="252" spans="1:5" ht="26.25" thickBot="1" x14ac:dyDescent="0.25">
      <c r="A252" s="59" t="s">
        <v>532</v>
      </c>
      <c r="B252" s="1590" t="s">
        <v>139</v>
      </c>
      <c r="C252" s="1473"/>
      <c r="D252" s="1590" t="s">
        <v>533</v>
      </c>
      <c r="E252" s="1473"/>
    </row>
    <row r="253" spans="1:5" ht="13.5" thickBot="1" x14ac:dyDescent="0.25">
      <c r="A253" s="927"/>
      <c r="B253" s="60" t="s">
        <v>535</v>
      </c>
      <c r="C253" s="60" t="s">
        <v>536</v>
      </c>
      <c r="D253" s="25" t="s">
        <v>537</v>
      </c>
      <c r="E253" s="60" t="s">
        <v>538</v>
      </c>
    </row>
    <row r="254" spans="1:5" ht="13.5" thickBot="1" x14ac:dyDescent="0.25">
      <c r="A254" s="61" t="s">
        <v>534</v>
      </c>
      <c r="B254" s="1590"/>
      <c r="C254" s="1637"/>
      <c r="D254" s="1637"/>
      <c r="E254" s="1638"/>
    </row>
    <row r="255" spans="1:5" x14ac:dyDescent="0.2">
      <c r="A255" s="928" t="s">
        <v>539</v>
      </c>
      <c r="B255" s="929"/>
      <c r="C255" s="929"/>
      <c r="D255" s="930"/>
      <c r="E255" s="929"/>
    </row>
    <row r="256" spans="1:5" ht="25.5" x14ac:dyDescent="0.2">
      <c r="A256" s="928" t="s">
        <v>540</v>
      </c>
      <c r="B256" s="929"/>
      <c r="C256" s="929"/>
      <c r="D256" s="930"/>
      <c r="E256" s="929"/>
    </row>
    <row r="257" spans="1:5" x14ac:dyDescent="0.2">
      <c r="A257" s="928" t="s">
        <v>541</v>
      </c>
      <c r="B257" s="929"/>
      <c r="C257" s="929"/>
      <c r="D257" s="930"/>
      <c r="E257" s="929"/>
    </row>
    <row r="258" spans="1:5" x14ac:dyDescent="0.2">
      <c r="A258" s="928" t="s">
        <v>624</v>
      </c>
      <c r="B258" s="887">
        <f>SUM(B259:B260)</f>
        <v>0</v>
      </c>
      <c r="C258" s="887">
        <f>SUM(C259:C260)</f>
        <v>0</v>
      </c>
      <c r="D258" s="887">
        <f>SUM(D259:D260)</f>
        <v>0</v>
      </c>
      <c r="E258" s="887">
        <f>SUM(E259:E260)</f>
        <v>0</v>
      </c>
    </row>
    <row r="259" spans="1:5" x14ac:dyDescent="0.2">
      <c r="A259" s="931" t="s">
        <v>92</v>
      </c>
      <c r="B259" s="887"/>
      <c r="C259" s="887"/>
      <c r="D259" s="886"/>
      <c r="E259" s="887"/>
    </row>
    <row r="260" spans="1:5" ht="13.5" thickBot="1" x14ac:dyDescent="0.25">
      <c r="A260" s="932" t="s">
        <v>92</v>
      </c>
      <c r="B260" s="933"/>
      <c r="C260" s="933"/>
      <c r="E260" s="933"/>
    </row>
    <row r="261" spans="1:5" ht="13.5" thickBot="1" x14ac:dyDescent="0.25">
      <c r="A261" s="816" t="s">
        <v>49</v>
      </c>
      <c r="B261" s="895">
        <f>SUM(B255:B258)</f>
        <v>0</v>
      </c>
      <c r="C261" s="895">
        <f>SUM(C255:C258)</f>
        <v>0</v>
      </c>
      <c r="D261" s="895">
        <f>SUM(D255:D258)</f>
        <v>0</v>
      </c>
      <c r="E261" s="895">
        <f>SUM(E255:E258)</f>
        <v>0</v>
      </c>
    </row>
    <row r="262" spans="1:5" ht="13.5" thickBot="1" x14ac:dyDescent="0.25">
      <c r="A262" s="61" t="s">
        <v>542</v>
      </c>
      <c r="B262" s="1590"/>
      <c r="C262" s="1637"/>
      <c r="D262" s="1637"/>
      <c r="E262" s="1638"/>
    </row>
    <row r="263" spans="1:5" x14ac:dyDescent="0.2">
      <c r="A263" s="928" t="s">
        <v>539</v>
      </c>
      <c r="B263" s="929"/>
      <c r="C263" s="929"/>
      <c r="D263" s="930"/>
      <c r="E263" s="929"/>
    </row>
    <row r="264" spans="1:5" ht="25.5" x14ac:dyDescent="0.2">
      <c r="A264" s="928" t="s">
        <v>540</v>
      </c>
      <c r="B264" s="929"/>
      <c r="C264" s="929"/>
      <c r="D264" s="930"/>
      <c r="E264" s="929"/>
    </row>
    <row r="265" spans="1:5" x14ac:dyDescent="0.2">
      <c r="A265" s="928" t="s">
        <v>541</v>
      </c>
      <c r="B265" s="929"/>
      <c r="C265" s="929"/>
      <c r="D265" s="930"/>
      <c r="E265" s="929"/>
    </row>
    <row r="266" spans="1:5" x14ac:dyDescent="0.2">
      <c r="A266" s="928" t="s">
        <v>624</v>
      </c>
      <c r="B266" s="887">
        <f>SUM(B267:B268)</f>
        <v>0</v>
      </c>
      <c r="C266" s="887">
        <f>SUM(C267:C268)</f>
        <v>0</v>
      </c>
      <c r="D266" s="887">
        <f>SUM(D267:D268)</f>
        <v>0</v>
      </c>
      <c r="E266" s="887">
        <f>SUM(E267:E268)</f>
        <v>0</v>
      </c>
    </row>
    <row r="267" spans="1:5" x14ac:dyDescent="0.2">
      <c r="A267" s="931" t="s">
        <v>92</v>
      </c>
      <c r="B267" s="887"/>
      <c r="C267" s="887"/>
      <c r="D267" s="886"/>
      <c r="E267" s="887"/>
    </row>
    <row r="268" spans="1:5" ht="13.5" thickBot="1" x14ac:dyDescent="0.25">
      <c r="A268" s="932" t="s">
        <v>92</v>
      </c>
      <c r="B268" s="933"/>
      <c r="C268" s="933"/>
      <c r="E268" s="933"/>
    </row>
    <row r="269" spans="1:5" ht="13.5" thickBot="1" x14ac:dyDescent="0.25">
      <c r="A269" s="934" t="s">
        <v>49</v>
      </c>
      <c r="B269" s="895">
        <f>SUM(B263:B266)</f>
        <v>0</v>
      </c>
      <c r="C269" s="895">
        <f>SUM(C263:C266)</f>
        <v>0</v>
      </c>
      <c r="D269" s="895">
        <f>SUM(D263:D266)</f>
        <v>0</v>
      </c>
      <c r="E269" s="895">
        <f>SUM(E263:E266)</f>
        <v>0</v>
      </c>
    </row>
    <row r="273" spans="1:7" ht="29.25" customHeight="1" x14ac:dyDescent="0.2">
      <c r="A273" s="1550" t="s">
        <v>583</v>
      </c>
      <c r="B273" s="1550"/>
      <c r="C273" s="1550"/>
      <c r="D273" s="1550"/>
      <c r="E273" s="1550"/>
    </row>
    <row r="274" spans="1:7" ht="13.5" thickBot="1" x14ac:dyDescent="0.25">
      <c r="A274" s="935"/>
    </row>
    <row r="275" spans="1:7" ht="64.5" thickBot="1" x14ac:dyDescent="0.25">
      <c r="A275" s="1492" t="s">
        <v>391</v>
      </c>
      <c r="B275" s="1493"/>
      <c r="C275" s="25" t="s">
        <v>475</v>
      </c>
      <c r="D275" s="59" t="s">
        <v>390</v>
      </c>
      <c r="E275" s="59" t="s">
        <v>606</v>
      </c>
      <c r="G275" s="110"/>
    </row>
    <row r="276" spans="1:7" ht="25.5" customHeight="1" x14ac:dyDescent="0.2">
      <c r="A276" s="1591" t="s">
        <v>193</v>
      </c>
      <c r="B276" s="1592"/>
      <c r="C276" s="936"/>
      <c r="D276" s="937"/>
      <c r="E276" s="937"/>
      <c r="G276" s="110"/>
    </row>
    <row r="277" spans="1:7" x14ac:dyDescent="0.2">
      <c r="A277" s="1587" t="s">
        <v>968</v>
      </c>
      <c r="B277" s="1588"/>
      <c r="C277" s="938"/>
      <c r="D277" s="800"/>
      <c r="E277" s="800"/>
      <c r="G277" s="110"/>
    </row>
    <row r="278" spans="1:7" ht="12.75" customHeight="1" x14ac:dyDescent="0.2">
      <c r="A278" s="1643" t="s">
        <v>461</v>
      </c>
      <c r="B278" s="1644"/>
      <c r="C278" s="938"/>
      <c r="D278" s="800"/>
      <c r="E278" s="800"/>
      <c r="G278" s="111"/>
    </row>
    <row r="279" spans="1:7" x14ac:dyDescent="0.2">
      <c r="A279" s="1593" t="s">
        <v>194</v>
      </c>
      <c r="B279" s="1594"/>
      <c r="C279" s="938"/>
      <c r="D279" s="800"/>
      <c r="E279" s="800"/>
      <c r="G279" s="110"/>
    </row>
    <row r="280" spans="1:7" x14ac:dyDescent="0.2">
      <c r="A280" s="1587" t="s">
        <v>603</v>
      </c>
      <c r="B280" s="1588"/>
      <c r="C280" s="939"/>
      <c r="D280" s="940"/>
      <c r="E280" s="940"/>
      <c r="G280" s="110"/>
    </row>
    <row r="281" spans="1:7" x14ac:dyDescent="0.2">
      <c r="A281" s="1587" t="s">
        <v>604</v>
      </c>
      <c r="B281" s="1588"/>
      <c r="C281" s="939"/>
      <c r="D281" s="940"/>
      <c r="E281" s="940"/>
      <c r="G281" s="110"/>
    </row>
    <row r="282" spans="1:7" x14ac:dyDescent="0.2">
      <c r="A282" s="1587" t="s">
        <v>605</v>
      </c>
      <c r="B282" s="1588"/>
      <c r="C282" s="941"/>
      <c r="D282" s="940"/>
      <c r="E282" s="940"/>
      <c r="G282" s="110"/>
    </row>
    <row r="283" spans="1:7" x14ac:dyDescent="0.2">
      <c r="A283" s="1587" t="s">
        <v>195</v>
      </c>
      <c r="B283" s="1588"/>
      <c r="C283" s="799"/>
      <c r="D283" s="800"/>
      <c r="E283" s="800"/>
    </row>
    <row r="284" spans="1:7" ht="13.5" thickBot="1" x14ac:dyDescent="0.25">
      <c r="A284" s="1639" t="s">
        <v>53</v>
      </c>
      <c r="B284" s="1640"/>
      <c r="C284" s="942"/>
      <c r="D284" s="943"/>
      <c r="E284" s="943"/>
    </row>
    <row r="285" spans="1:7" ht="13.5" thickBot="1" x14ac:dyDescent="0.25">
      <c r="A285" s="1645" t="s">
        <v>232</v>
      </c>
      <c r="B285" s="1646"/>
      <c r="C285" s="944">
        <f>C276+C277+C279+C283+C280+C281+C282+C284</f>
        <v>0</v>
      </c>
      <c r="D285" s="944">
        <f>D276+D277+D279+D283+D280+D281+D282+D284</f>
        <v>0</v>
      </c>
      <c r="E285" s="945"/>
    </row>
    <row r="286" spans="1:7" ht="15" x14ac:dyDescent="0.2">
      <c r="A286" s="1486" t="s">
        <v>582</v>
      </c>
      <c r="B286" s="1486"/>
      <c r="C286" s="1486"/>
      <c r="D286" s="1486"/>
    </row>
    <row r="287" spans="1:7" ht="13.5" thickBot="1" x14ac:dyDescent="0.25">
      <c r="A287" s="910"/>
      <c r="B287" s="902"/>
      <c r="C287" s="902"/>
      <c r="D287" s="902"/>
    </row>
    <row r="288" spans="1:7" ht="13.5" thickBot="1" x14ac:dyDescent="0.25">
      <c r="A288" s="1599" t="s">
        <v>681</v>
      </c>
      <c r="B288" s="1600"/>
      <c r="C288" s="809" t="s">
        <v>475</v>
      </c>
      <c r="D288" s="779" t="s">
        <v>529</v>
      </c>
    </row>
    <row r="289" spans="1:4" ht="32.25" customHeight="1" thickBot="1" x14ac:dyDescent="0.25">
      <c r="A289" s="1355" t="s">
        <v>456</v>
      </c>
      <c r="B289" s="1473"/>
      <c r="C289" s="946"/>
      <c r="D289" s="947"/>
    </row>
    <row r="290" spans="1:4" ht="13.5" thickBot="1" x14ac:dyDescent="0.25">
      <c r="A290" s="1355" t="s">
        <v>457</v>
      </c>
      <c r="B290" s="1473"/>
      <c r="C290" s="946"/>
      <c r="D290" s="947"/>
    </row>
    <row r="291" spans="1:4" ht="13.5" thickBot="1" x14ac:dyDescent="0.25">
      <c r="A291" s="1355" t="s">
        <v>458</v>
      </c>
      <c r="B291" s="1473"/>
      <c r="C291" s="946"/>
      <c r="D291" s="947"/>
    </row>
    <row r="292" spans="1:4" ht="25.5" customHeight="1" thickBot="1" x14ac:dyDescent="0.25">
      <c r="A292" s="1355" t="s">
        <v>690</v>
      </c>
      <c r="B292" s="1473"/>
      <c r="C292" s="946"/>
      <c r="D292" s="947"/>
    </row>
    <row r="293" spans="1:4" ht="27" customHeight="1" thickBot="1" x14ac:dyDescent="0.25">
      <c r="A293" s="1355" t="s">
        <v>459</v>
      </c>
      <c r="B293" s="1473"/>
      <c r="C293" s="946"/>
      <c r="D293" s="947"/>
    </row>
    <row r="294" spans="1:4" ht="13.5" thickBot="1" x14ac:dyDescent="0.25">
      <c r="A294" s="1355" t="s">
        <v>460</v>
      </c>
      <c r="B294" s="1473"/>
      <c r="C294" s="946"/>
      <c r="D294" s="947"/>
    </row>
    <row r="295" spans="1:4" ht="29.25" customHeight="1" thickBot="1" x14ac:dyDescent="0.25">
      <c r="A295" s="1355" t="s">
        <v>969</v>
      </c>
      <c r="B295" s="1473"/>
      <c r="C295" s="946"/>
      <c r="D295" s="947"/>
    </row>
    <row r="296" spans="1:4" ht="25.5" customHeight="1" thickBot="1" x14ac:dyDescent="0.25">
      <c r="A296" s="1355" t="s">
        <v>967</v>
      </c>
      <c r="B296" s="1473"/>
      <c r="C296" s="946"/>
      <c r="D296" s="947"/>
    </row>
    <row r="297" spans="1:4" ht="13.5" thickBot="1" x14ac:dyDescent="0.25">
      <c r="A297" s="1355" t="s">
        <v>691</v>
      </c>
      <c r="B297" s="1473"/>
      <c r="C297" s="307">
        <f>SUM(C298:C317)</f>
        <v>0</v>
      </c>
      <c r="D297" s="303">
        <f>SUM(D298:D317)</f>
        <v>0</v>
      </c>
    </row>
    <row r="298" spans="1:4" ht="13.5" customHeight="1" x14ac:dyDescent="0.2">
      <c r="A298" s="1553" t="s">
        <v>0</v>
      </c>
      <c r="B298" s="1487"/>
      <c r="C298" s="948"/>
      <c r="D298" s="949"/>
    </row>
    <row r="299" spans="1:4" x14ac:dyDescent="0.2">
      <c r="A299" s="1366" t="s">
        <v>26</v>
      </c>
      <c r="B299" s="1472"/>
      <c r="C299" s="950"/>
      <c r="D299" s="949"/>
    </row>
    <row r="300" spans="1:4" x14ac:dyDescent="0.2">
      <c r="A300" s="1372" t="s">
        <v>1</v>
      </c>
      <c r="B300" s="1472"/>
      <c r="C300" s="950"/>
      <c r="D300" s="949"/>
    </row>
    <row r="301" spans="1:4" ht="39.75" customHeight="1" x14ac:dyDescent="0.2">
      <c r="A301" s="1481" t="s">
        <v>709</v>
      </c>
      <c r="B301" s="1472"/>
      <c r="C301" s="950"/>
      <c r="D301" s="949"/>
    </row>
    <row r="302" spans="1:4" x14ac:dyDescent="0.2">
      <c r="A302" s="1372" t="s">
        <v>2</v>
      </c>
      <c r="B302" s="1472"/>
      <c r="C302" s="950"/>
      <c r="D302" s="949"/>
    </row>
    <row r="303" spans="1:4" x14ac:dyDescent="0.2">
      <c r="A303" s="1372" t="s">
        <v>3</v>
      </c>
      <c r="B303" s="1472"/>
      <c r="C303" s="950"/>
      <c r="D303" s="949"/>
    </row>
    <row r="304" spans="1:4" x14ac:dyDescent="0.2">
      <c r="A304" s="1372" t="s">
        <v>4</v>
      </c>
      <c r="B304" s="1472"/>
      <c r="C304" s="950"/>
      <c r="D304" s="949"/>
    </row>
    <row r="305" spans="1:4" ht="26.25" customHeight="1" x14ac:dyDescent="0.2">
      <c r="A305" s="1372" t="s">
        <v>5</v>
      </c>
      <c r="B305" s="1472"/>
      <c r="C305" s="917"/>
      <c r="D305" s="951"/>
    </row>
    <row r="306" spans="1:4" x14ac:dyDescent="0.2">
      <c r="A306" s="1372" t="s">
        <v>6</v>
      </c>
      <c r="B306" s="1472"/>
      <c r="C306" s="917"/>
      <c r="D306" s="951"/>
    </row>
    <row r="307" spans="1:4" x14ac:dyDescent="0.2">
      <c r="A307" s="1372" t="s">
        <v>7</v>
      </c>
      <c r="B307" s="1472"/>
      <c r="C307" s="917"/>
      <c r="D307" s="951"/>
    </row>
    <row r="308" spans="1:4" x14ac:dyDescent="0.2">
      <c r="A308" s="1372" t="s">
        <v>8</v>
      </c>
      <c r="B308" s="1472"/>
      <c r="C308" s="917"/>
      <c r="D308" s="951"/>
    </row>
    <row r="309" spans="1:4" x14ac:dyDescent="0.2">
      <c r="A309" s="1372" t="s">
        <v>9</v>
      </c>
      <c r="B309" s="1472"/>
      <c r="C309" s="917"/>
      <c r="D309" s="951"/>
    </row>
    <row r="310" spans="1:4" x14ac:dyDescent="0.2">
      <c r="A310" s="1372" t="s">
        <v>10</v>
      </c>
      <c r="B310" s="1472"/>
      <c r="C310" s="917"/>
      <c r="D310" s="951"/>
    </row>
    <row r="311" spans="1:4" x14ac:dyDescent="0.2">
      <c r="A311" s="1474" t="s">
        <v>16</v>
      </c>
      <c r="B311" s="1472"/>
      <c r="C311" s="917"/>
      <c r="D311" s="951"/>
    </row>
    <row r="312" spans="1:4" x14ac:dyDescent="0.2">
      <c r="A312" s="1474" t="s">
        <v>17</v>
      </c>
      <c r="B312" s="1472"/>
      <c r="C312" s="917"/>
      <c r="D312" s="951"/>
    </row>
    <row r="313" spans="1:4" ht="27" customHeight="1" x14ac:dyDescent="0.2">
      <c r="A313" s="1481" t="s">
        <v>18</v>
      </c>
      <c r="B313" s="1472"/>
      <c r="C313" s="917"/>
      <c r="D313" s="951"/>
    </row>
    <row r="314" spans="1:4" ht="27" customHeight="1" x14ac:dyDescent="0.2">
      <c r="A314" s="1481" t="s">
        <v>19</v>
      </c>
      <c r="B314" s="1472"/>
      <c r="C314" s="917"/>
      <c r="D314" s="951"/>
    </row>
    <row r="315" spans="1:4" x14ac:dyDescent="0.2">
      <c r="A315" s="1474" t="s">
        <v>614</v>
      </c>
      <c r="B315" s="1472"/>
      <c r="C315" s="917"/>
      <c r="D315" s="951"/>
    </row>
    <row r="316" spans="1:4" x14ac:dyDescent="0.2">
      <c r="A316" s="1474" t="s">
        <v>20</v>
      </c>
      <c r="B316" s="1472"/>
      <c r="C316" s="917"/>
      <c r="D316" s="951"/>
    </row>
    <row r="317" spans="1:4" ht="13.5" thickBot="1" x14ac:dyDescent="0.25">
      <c r="A317" s="1358" t="s">
        <v>525</v>
      </c>
      <c r="B317" s="1483"/>
      <c r="C317" s="918"/>
      <c r="D317" s="951"/>
    </row>
    <row r="318" spans="1:4" ht="13.5" thickBot="1" x14ac:dyDescent="0.25">
      <c r="A318" s="1482" t="s">
        <v>49</v>
      </c>
      <c r="B318" s="1473"/>
      <c r="C318" s="922">
        <f>SUM(C289:C297)</f>
        <v>0</v>
      </c>
      <c r="D318" s="922">
        <f>SUM(D289:D297)</f>
        <v>0</v>
      </c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8" x14ac:dyDescent="0.2">
      <c r="A321" s="1484"/>
      <c r="B321" s="1485"/>
      <c r="C321" s="1485"/>
      <c r="D321" s="1"/>
    </row>
    <row r="324" spans="1:8" ht="15" x14ac:dyDescent="0.2">
      <c r="A324" s="1486" t="s">
        <v>581</v>
      </c>
      <c r="B324" s="1486"/>
      <c r="C324" s="1486"/>
    </row>
    <row r="325" spans="1:8" ht="13.5" thickBot="1" x14ac:dyDescent="0.25">
      <c r="A325" s="952"/>
      <c r="B325" s="902"/>
      <c r="C325" s="902"/>
    </row>
    <row r="326" spans="1:8" ht="13.5" thickBot="1" x14ac:dyDescent="0.25">
      <c r="A326" s="1482" t="s">
        <v>94</v>
      </c>
      <c r="B326" s="1597"/>
      <c r="C326" s="64" t="s">
        <v>389</v>
      </c>
      <c r="D326" s="779" t="s">
        <v>390</v>
      </c>
      <c r="G326" s="1596"/>
      <c r="H326" s="1596"/>
    </row>
    <row r="327" spans="1:8" ht="13.5" thickBot="1" x14ac:dyDescent="0.25">
      <c r="A327" s="1403" t="s">
        <v>95</v>
      </c>
      <c r="B327" s="1405"/>
      <c r="C327" s="944">
        <f>SUM(C328:C337)</f>
        <v>0</v>
      </c>
      <c r="D327" s="953">
        <f>SUM(D328:D337)</f>
        <v>0</v>
      </c>
      <c r="G327" s="1596"/>
      <c r="H327" s="1596"/>
    </row>
    <row r="328" spans="1:8" ht="55.5" customHeight="1" x14ac:dyDescent="0.2">
      <c r="A328" s="1553" t="s">
        <v>615</v>
      </c>
      <c r="B328" s="1555"/>
      <c r="C328" s="954">
        <v>0</v>
      </c>
      <c r="D328" s="955"/>
      <c r="G328" s="1596"/>
      <c r="H328" s="1596"/>
    </row>
    <row r="329" spans="1:8" x14ac:dyDescent="0.2">
      <c r="A329" s="1370" t="s">
        <v>396</v>
      </c>
      <c r="B329" s="1371"/>
      <c r="C329" s="956">
        <v>0</v>
      </c>
      <c r="D329" s="957"/>
    </row>
    <row r="330" spans="1:8" x14ac:dyDescent="0.2">
      <c r="A330" s="1370" t="s">
        <v>97</v>
      </c>
      <c r="B330" s="1371"/>
      <c r="C330" s="938">
        <v>0</v>
      </c>
      <c r="D330" s="958"/>
    </row>
    <row r="331" spans="1:8" ht="28.5" customHeight="1" x14ac:dyDescent="0.2">
      <c r="A331" s="1366" t="s">
        <v>970</v>
      </c>
      <c r="B331" s="1367"/>
      <c r="C331" s="938">
        <v>0</v>
      </c>
      <c r="D331" s="958"/>
    </row>
    <row r="332" spans="1:8" ht="32.25" customHeight="1" x14ac:dyDescent="0.2">
      <c r="A332" s="1366" t="s">
        <v>397</v>
      </c>
      <c r="B332" s="1367"/>
      <c r="C332" s="938">
        <v>0</v>
      </c>
      <c r="D332" s="958"/>
    </row>
    <row r="333" spans="1:8" x14ac:dyDescent="0.2">
      <c r="A333" s="1370" t="s">
        <v>398</v>
      </c>
      <c r="B333" s="1371"/>
      <c r="C333" s="938">
        <v>0</v>
      </c>
      <c r="D333" s="958"/>
    </row>
    <row r="334" spans="1:8" x14ac:dyDescent="0.2">
      <c r="A334" s="1370" t="s">
        <v>399</v>
      </c>
      <c r="B334" s="1371"/>
      <c r="C334" s="938">
        <v>0</v>
      </c>
      <c r="D334" s="958"/>
    </row>
    <row r="335" spans="1:8" x14ac:dyDescent="0.2">
      <c r="A335" s="1370" t="s">
        <v>98</v>
      </c>
      <c r="B335" s="1371"/>
      <c r="C335" s="938">
        <v>0</v>
      </c>
      <c r="D335" s="958"/>
    </row>
    <row r="336" spans="1:8" x14ac:dyDescent="0.2">
      <c r="A336" s="1370" t="s">
        <v>400</v>
      </c>
      <c r="B336" s="1371"/>
      <c r="C336" s="938">
        <v>0</v>
      </c>
      <c r="D336" s="958"/>
    </row>
    <row r="337" spans="1:5" ht="13.5" thickBot="1" x14ac:dyDescent="0.25">
      <c r="A337" s="1364" t="s">
        <v>53</v>
      </c>
      <c r="B337" s="1365"/>
      <c r="C337" s="939">
        <v>0</v>
      </c>
      <c r="D337" s="959"/>
    </row>
    <row r="338" spans="1:5" ht="13.5" thickBot="1" x14ac:dyDescent="0.25">
      <c r="A338" s="1403" t="s">
        <v>99</v>
      </c>
      <c r="B338" s="1405"/>
      <c r="C338" s="945">
        <f>SUM(C339:C348)</f>
        <v>40197.85</v>
      </c>
      <c r="D338" s="945">
        <f>SUM(D339:D348)</f>
        <v>44888.88</v>
      </c>
    </row>
    <row r="339" spans="1:5" ht="59.25" customHeight="1" x14ac:dyDescent="0.2">
      <c r="A339" s="1553" t="s">
        <v>615</v>
      </c>
      <c r="B339" s="1555"/>
      <c r="C339" s="957">
        <v>0</v>
      </c>
      <c r="D339" s="957"/>
    </row>
    <row r="340" spans="1:5" x14ac:dyDescent="0.2">
      <c r="A340" s="1370" t="s">
        <v>396</v>
      </c>
      <c r="B340" s="1371"/>
      <c r="C340" s="957">
        <v>0</v>
      </c>
      <c r="D340" s="957"/>
    </row>
    <row r="341" spans="1:5" x14ac:dyDescent="0.2">
      <c r="A341" s="1370" t="s">
        <v>97</v>
      </c>
      <c r="B341" s="1371"/>
      <c r="C341" s="958">
        <v>0</v>
      </c>
      <c r="D341" s="958"/>
    </row>
    <row r="342" spans="1:5" ht="27.75" customHeight="1" x14ac:dyDescent="0.2">
      <c r="A342" s="1366" t="s">
        <v>970</v>
      </c>
      <c r="B342" s="1367"/>
      <c r="C342" s="958">
        <v>0</v>
      </c>
      <c r="D342" s="958"/>
      <c r="E342" s="960"/>
    </row>
    <row r="343" spans="1:5" ht="24.75" customHeight="1" x14ac:dyDescent="0.2">
      <c r="A343" s="1366" t="s">
        <v>397</v>
      </c>
      <c r="B343" s="1367"/>
      <c r="C343" s="958">
        <v>0</v>
      </c>
      <c r="D343" s="958"/>
    </row>
    <row r="344" spans="1:5" x14ac:dyDescent="0.2">
      <c r="A344" s="1366" t="s">
        <v>398</v>
      </c>
      <c r="B344" s="1367"/>
      <c r="C344" s="958">
        <v>0</v>
      </c>
      <c r="D344" s="958"/>
    </row>
    <row r="345" spans="1:5" x14ac:dyDescent="0.2">
      <c r="A345" s="1370" t="s">
        <v>399</v>
      </c>
      <c r="B345" s="1371"/>
      <c r="C345" s="958">
        <v>0</v>
      </c>
      <c r="D345" s="958"/>
    </row>
    <row r="346" spans="1:5" x14ac:dyDescent="0.2">
      <c r="A346" s="1370" t="s">
        <v>401</v>
      </c>
      <c r="B346" s="1371"/>
      <c r="C346" s="958">
        <v>4269.33</v>
      </c>
      <c r="D346" s="958">
        <v>0</v>
      </c>
    </row>
    <row r="347" spans="1:5" x14ac:dyDescent="0.2">
      <c r="A347" s="1370" t="s">
        <v>400</v>
      </c>
      <c r="B347" s="1371"/>
      <c r="C347" s="958">
        <v>0</v>
      </c>
      <c r="D347" s="958"/>
    </row>
    <row r="348" spans="1:5" ht="13.5" thickBot="1" x14ac:dyDescent="0.25">
      <c r="A348" s="1475" t="s">
        <v>710</v>
      </c>
      <c r="B348" s="1476"/>
      <c r="C348" s="961">
        <v>35928.519999999997</v>
      </c>
      <c r="D348" s="961">
        <v>44888.88</v>
      </c>
    </row>
    <row r="349" spans="1:5" ht="13.5" thickBot="1" x14ac:dyDescent="0.25">
      <c r="A349" s="1477" t="s">
        <v>142</v>
      </c>
      <c r="B349" s="1478"/>
      <c r="C349" s="962">
        <f>C327+C338</f>
        <v>40197.85</v>
      </c>
      <c r="D349" s="963">
        <f>D327+D338</f>
        <v>44888.88</v>
      </c>
    </row>
    <row r="354" spans="1:5" ht="15" x14ac:dyDescent="0.25">
      <c r="A354" s="1486" t="s">
        <v>580</v>
      </c>
      <c r="B354" s="1486"/>
      <c r="C354" s="1486"/>
      <c r="D354" s="1576"/>
      <c r="E354" s="1576"/>
    </row>
    <row r="355" spans="1:5" ht="13.5" thickBot="1" x14ac:dyDescent="0.25">
      <c r="A355" s="902"/>
      <c r="B355" s="902"/>
      <c r="C355" s="902"/>
      <c r="D355" s="1"/>
    </row>
    <row r="356" spans="1:5" ht="13.5" thickBot="1" x14ac:dyDescent="0.25">
      <c r="A356" s="1603" t="s">
        <v>406</v>
      </c>
      <c r="B356" s="1604"/>
      <c r="C356" s="807" t="s">
        <v>389</v>
      </c>
      <c r="D356" s="54" t="s">
        <v>529</v>
      </c>
    </row>
    <row r="357" spans="1:5" x14ac:dyDescent="0.2">
      <c r="A357" s="1601" t="s">
        <v>11</v>
      </c>
      <c r="B357" s="1602"/>
      <c r="C357" s="718">
        <f>SUM(C358:C364)</f>
        <v>3222192</v>
      </c>
      <c r="D357" s="718">
        <f>SUM(D358:D364)</f>
        <v>3393035.7</v>
      </c>
    </row>
    <row r="358" spans="1:5" x14ac:dyDescent="0.2">
      <c r="A358" s="1347" t="s">
        <v>407</v>
      </c>
      <c r="B358" s="1349"/>
      <c r="C358" s="719">
        <v>3201343.58</v>
      </c>
      <c r="D358" s="719">
        <v>3391416</v>
      </c>
    </row>
    <row r="359" spans="1:5" x14ac:dyDescent="0.2">
      <c r="A359" s="1347" t="s">
        <v>408</v>
      </c>
      <c r="B359" s="1349"/>
      <c r="C359" s="719">
        <v>0</v>
      </c>
      <c r="D359" s="719"/>
    </row>
    <row r="360" spans="1:5" ht="27.75" customHeight="1" x14ac:dyDescent="0.2">
      <c r="A360" s="1372" t="s">
        <v>409</v>
      </c>
      <c r="B360" s="1374"/>
      <c r="C360" s="719">
        <v>20848.419999999998</v>
      </c>
      <c r="D360" s="719">
        <v>1619.7</v>
      </c>
    </row>
    <row r="361" spans="1:5" x14ac:dyDescent="0.2">
      <c r="A361" s="1372" t="s">
        <v>410</v>
      </c>
      <c r="B361" s="1374"/>
      <c r="C361" s="719">
        <v>0</v>
      </c>
      <c r="D361" s="719"/>
    </row>
    <row r="362" spans="1:5" x14ac:dyDescent="0.2">
      <c r="A362" s="1372" t="s">
        <v>545</v>
      </c>
      <c r="B362" s="1374"/>
      <c r="C362" s="719">
        <v>0</v>
      </c>
      <c r="D362" s="1059"/>
    </row>
    <row r="363" spans="1:5" x14ac:dyDescent="0.2">
      <c r="A363" s="1372" t="s">
        <v>12</v>
      </c>
      <c r="B363" s="1374"/>
      <c r="C363" s="719">
        <v>0</v>
      </c>
      <c r="D363" s="1059"/>
    </row>
    <row r="364" spans="1:5" x14ac:dyDescent="0.2">
      <c r="A364" s="1372" t="s">
        <v>525</v>
      </c>
      <c r="B364" s="1374"/>
      <c r="C364" s="719">
        <v>0</v>
      </c>
      <c r="D364" s="719"/>
    </row>
    <row r="365" spans="1:5" x14ac:dyDescent="0.2">
      <c r="A365" s="1463" t="s">
        <v>411</v>
      </c>
      <c r="B365" s="1465"/>
      <c r="C365" s="1060">
        <f>C366+C367+C369</f>
        <v>0</v>
      </c>
      <c r="D365" s="1060">
        <f>D366+D367+D369</f>
        <v>0</v>
      </c>
    </row>
    <row r="366" spans="1:5" x14ac:dyDescent="0.2">
      <c r="A366" s="1370" t="s">
        <v>107</v>
      </c>
      <c r="B366" s="1371"/>
      <c r="C366" s="1061">
        <v>0</v>
      </c>
      <c r="D366" s="1061"/>
    </row>
    <row r="367" spans="1:5" x14ac:dyDescent="0.2">
      <c r="A367" s="1370" t="s">
        <v>412</v>
      </c>
      <c r="B367" s="1371"/>
      <c r="C367" s="1061">
        <v>0</v>
      </c>
      <c r="D367" s="1061"/>
    </row>
    <row r="368" spans="1:5" x14ac:dyDescent="0.2">
      <c r="A368" s="1651" t="s">
        <v>413</v>
      </c>
      <c r="B368" s="1652"/>
      <c r="C368" s="1061">
        <v>0</v>
      </c>
      <c r="D368" s="1061"/>
    </row>
    <row r="369" spans="1:5" ht="13.5" thickBot="1" x14ac:dyDescent="0.25">
      <c r="A369" s="1475" t="s">
        <v>525</v>
      </c>
      <c r="B369" s="1476"/>
      <c r="C369" s="1061">
        <v>0</v>
      </c>
      <c r="D369" s="1061"/>
    </row>
    <row r="370" spans="1:5" ht="13.5" thickBot="1" x14ac:dyDescent="0.25">
      <c r="A370" s="1477" t="s">
        <v>142</v>
      </c>
      <c r="B370" s="1478"/>
      <c r="C370" s="965">
        <f>C357+C365</f>
        <v>3222192</v>
      </c>
      <c r="D370" s="965">
        <f>D357+D365</f>
        <v>3393035.7</v>
      </c>
    </row>
    <row r="373" spans="1:5" ht="26.25" customHeight="1" x14ac:dyDescent="0.2">
      <c r="A373" s="1550" t="s">
        <v>607</v>
      </c>
      <c r="B373" s="1650"/>
      <c r="C373" s="1650"/>
      <c r="D373" s="1650"/>
    </row>
    <row r="374" spans="1:5" ht="13.5" thickBot="1" x14ac:dyDescent="0.25">
      <c r="B374" s="935"/>
    </row>
    <row r="375" spans="1:5" ht="13.5" thickBot="1" x14ac:dyDescent="0.25">
      <c r="A375" s="1479"/>
      <c r="B375" s="1480"/>
      <c r="C375" s="810" t="s">
        <v>475</v>
      </c>
      <c r="D375" s="59" t="s">
        <v>390</v>
      </c>
    </row>
    <row r="376" spans="1:5" ht="13.5" thickBot="1" x14ac:dyDescent="0.25">
      <c r="A376" s="1643" t="s">
        <v>467</v>
      </c>
      <c r="B376" s="1644"/>
      <c r="C376" s="800">
        <v>24039471.899999999</v>
      </c>
      <c r="D376" s="800">
        <v>44192048.079999998</v>
      </c>
    </row>
    <row r="377" spans="1:5" ht="13.5" thickBot="1" x14ac:dyDescent="0.25">
      <c r="A377" s="1403" t="s">
        <v>232</v>
      </c>
      <c r="B377" s="1405"/>
      <c r="C377" s="945">
        <f>SUM(C376:C376)</f>
        <v>24039471.899999999</v>
      </c>
      <c r="D377" s="945">
        <f>SUM(D376:D376)</f>
        <v>44192048.079999998</v>
      </c>
    </row>
    <row r="380" spans="1:5" ht="14.45" customHeight="1" x14ac:dyDescent="0.2">
      <c r="A380" s="1550" t="s">
        <v>579</v>
      </c>
      <c r="B380" s="1550"/>
      <c r="C380" s="1550"/>
      <c r="D380" s="1550"/>
      <c r="E380" s="1550"/>
    </row>
    <row r="381" spans="1:5" ht="13.5" thickBot="1" x14ac:dyDescent="0.25">
      <c r="E381" s="1"/>
    </row>
    <row r="382" spans="1:5" ht="26.25" thickBot="1" x14ac:dyDescent="0.25">
      <c r="A382" s="1440" t="s">
        <v>156</v>
      </c>
      <c r="B382" s="1638"/>
      <c r="C382" s="59" t="s">
        <v>543</v>
      </c>
      <c r="D382" s="59" t="s">
        <v>544</v>
      </c>
      <c r="E382" s="1"/>
    </row>
    <row r="383" spans="1:5" ht="13.5" thickBot="1" x14ac:dyDescent="0.25">
      <c r="A383" s="1653" t="s">
        <v>679</v>
      </c>
      <c r="B383" s="1654"/>
      <c r="C383" s="1093">
        <v>796998.46</v>
      </c>
      <c r="D383" s="1093">
        <f>30224.7+74250+39240+154804.92+57129.96+19793.66+12859.56+46503.26+28838.4+36025.01+48937.8+50828.4+39835.8+47088+59817+23466.5+58577.22+21482.4+46950.77+17573.78+17152.72+20349+63637.79</f>
        <v>1015366.6500000001</v>
      </c>
      <c r="E383" s="1"/>
    </row>
    <row r="384" spans="1:5" x14ac:dyDescent="0.2">
      <c r="A384" s="1"/>
      <c r="B384" s="1"/>
      <c r="C384" s="1"/>
      <c r="D384" s="1"/>
      <c r="E384" s="1"/>
    </row>
    <row r="385" spans="1:9" ht="29.25" customHeight="1" x14ac:dyDescent="0.2">
      <c r="A385" s="1648" t="s">
        <v>671</v>
      </c>
      <c r="B385" s="1648"/>
      <c r="C385" s="1648"/>
      <c r="D385" s="1391"/>
      <c r="E385" s="1391"/>
    </row>
    <row r="390" spans="1:9" ht="15" x14ac:dyDescent="0.2">
      <c r="A390" s="1649" t="s">
        <v>608</v>
      </c>
      <c r="B390" s="1649"/>
      <c r="C390" s="1649"/>
      <c r="D390" s="1649"/>
      <c r="E390" s="1649"/>
      <c r="F390" s="1649"/>
      <c r="G390" s="1649"/>
      <c r="H390" s="1649"/>
      <c r="I390" s="1649"/>
    </row>
    <row r="392" spans="1:9" ht="15" x14ac:dyDescent="0.2">
      <c r="A392" s="1649" t="s">
        <v>578</v>
      </c>
      <c r="B392" s="1649"/>
      <c r="C392" s="1649"/>
      <c r="D392" s="1649"/>
      <c r="E392" s="1649"/>
      <c r="F392" s="1649"/>
      <c r="G392" s="1649"/>
      <c r="H392" s="1649"/>
      <c r="I392" s="1649"/>
    </row>
    <row r="393" spans="1:9" ht="13.5" thickBot="1" x14ac:dyDescent="0.25">
      <c r="A393" s="952"/>
      <c r="B393" s="952"/>
      <c r="C393" s="952"/>
      <c r="D393" s="952"/>
      <c r="E393" s="952"/>
      <c r="F393" s="112"/>
      <c r="G393" s="112"/>
      <c r="H393" s="112"/>
      <c r="I393" s="65"/>
    </row>
    <row r="394" spans="1:9" ht="26.25" thickBot="1" x14ac:dyDescent="0.25">
      <c r="A394" s="1570" t="s">
        <v>138</v>
      </c>
      <c r="B394" s="1603" t="s">
        <v>78</v>
      </c>
      <c r="C394" s="1647"/>
      <c r="D394" s="1604"/>
      <c r="E394" s="912" t="s">
        <v>210</v>
      </c>
      <c r="F394" s="1603" t="s">
        <v>79</v>
      </c>
      <c r="G394" s="1647"/>
      <c r="H394" s="1604"/>
      <c r="I394" s="119" t="s">
        <v>336</v>
      </c>
    </row>
    <row r="395" spans="1:9" ht="64.5" thickBot="1" x14ac:dyDescent="0.25">
      <c r="A395" s="1571"/>
      <c r="B395" s="966" t="s">
        <v>209</v>
      </c>
      <c r="C395" s="967" t="s">
        <v>161</v>
      </c>
      <c r="D395" s="968" t="s">
        <v>56</v>
      </c>
      <c r="E395" s="969" t="s">
        <v>465</v>
      </c>
      <c r="F395" s="66" t="s">
        <v>209</v>
      </c>
      <c r="G395" s="67" t="s">
        <v>211</v>
      </c>
      <c r="H395" s="68" t="s">
        <v>296</v>
      </c>
      <c r="I395" s="120"/>
    </row>
    <row r="396" spans="1:9" ht="26.25" thickBot="1" x14ac:dyDescent="0.25">
      <c r="A396" s="300" t="s">
        <v>971</v>
      </c>
      <c r="B396" s="304"/>
      <c r="C396" s="305"/>
      <c r="D396" s="306"/>
      <c r="E396" s="307"/>
      <c r="F396" s="69"/>
      <c r="G396" s="71"/>
      <c r="H396" s="70"/>
      <c r="I396" s="63">
        <f>SUM(B396:H396)</f>
        <v>0</v>
      </c>
    </row>
    <row r="397" spans="1:9" ht="13.5" thickBot="1" x14ac:dyDescent="0.25">
      <c r="A397" s="309" t="s">
        <v>80</v>
      </c>
      <c r="B397" s="970">
        <f t="shared" ref="B397:I397" si="15">SUM(B398:B400)</f>
        <v>0</v>
      </c>
      <c r="C397" s="971">
        <f t="shared" si="15"/>
        <v>0</v>
      </c>
      <c r="D397" s="972">
        <f t="shared" si="15"/>
        <v>0</v>
      </c>
      <c r="E397" s="309">
        <f t="shared" si="15"/>
        <v>0</v>
      </c>
      <c r="F397" s="73">
        <f t="shared" si="15"/>
        <v>0</v>
      </c>
      <c r="G397" s="73">
        <f t="shared" si="15"/>
        <v>0</v>
      </c>
      <c r="H397" s="72">
        <f t="shared" si="15"/>
        <v>0</v>
      </c>
      <c r="I397" s="72">
        <f t="shared" si="15"/>
        <v>0</v>
      </c>
    </row>
    <row r="398" spans="1:9" x14ac:dyDescent="0.2">
      <c r="A398" s="973" t="s">
        <v>81</v>
      </c>
      <c r="B398" s="974"/>
      <c r="C398" s="975"/>
      <c r="D398" s="976"/>
      <c r="E398" s="937"/>
      <c r="F398" s="310"/>
      <c r="G398" s="312"/>
      <c r="H398" s="311"/>
      <c r="I398" s="313">
        <f>SUM(B398:H398)</f>
        <v>0</v>
      </c>
    </row>
    <row r="399" spans="1:9" x14ac:dyDescent="0.2">
      <c r="A399" s="317" t="s">
        <v>82</v>
      </c>
      <c r="B399" s="977"/>
      <c r="C399" s="914"/>
      <c r="D399" s="978"/>
      <c r="E399" s="800"/>
      <c r="F399" s="314"/>
      <c r="G399" s="316"/>
      <c r="H399" s="315"/>
      <c r="I399" s="313">
        <f>SUM(B399:H399)</f>
        <v>0</v>
      </c>
    </row>
    <row r="400" spans="1:9" ht="13.5" thickBot="1" x14ac:dyDescent="0.25">
      <c r="A400" s="317" t="s">
        <v>83</v>
      </c>
      <c r="B400" s="977"/>
      <c r="C400" s="914"/>
      <c r="D400" s="978"/>
      <c r="E400" s="800"/>
      <c r="F400" s="314"/>
      <c r="G400" s="316"/>
      <c r="H400" s="315"/>
      <c r="I400" s="313">
        <f>SUM(B400:H400)</f>
        <v>0</v>
      </c>
    </row>
    <row r="401" spans="1:9" ht="13.5" thickBot="1" x14ac:dyDescent="0.25">
      <c r="A401" s="309" t="s">
        <v>84</v>
      </c>
      <c r="B401" s="304">
        <f t="shared" ref="B401:I401" si="16">SUM(B402:B405)</f>
        <v>0</v>
      </c>
      <c r="C401" s="305">
        <f t="shared" si="16"/>
        <v>0</v>
      </c>
      <c r="D401" s="308">
        <f t="shared" si="16"/>
        <v>0</v>
      </c>
      <c r="E401" s="307">
        <f t="shared" si="16"/>
        <v>0</v>
      </c>
      <c r="F401" s="69">
        <f t="shared" si="16"/>
        <v>0</v>
      </c>
      <c r="G401" s="69">
        <f t="shared" si="16"/>
        <v>0</v>
      </c>
      <c r="H401" s="63">
        <f t="shared" si="16"/>
        <v>0</v>
      </c>
      <c r="I401" s="63">
        <f t="shared" si="16"/>
        <v>0</v>
      </c>
    </row>
    <row r="402" spans="1:9" ht="13.5" customHeight="1" x14ac:dyDescent="0.2">
      <c r="A402" s="318" t="s">
        <v>85</v>
      </c>
      <c r="B402" s="977"/>
      <c r="C402" s="914"/>
      <c r="D402" s="978"/>
      <c r="E402" s="800"/>
      <c r="F402" s="314"/>
      <c r="G402" s="316"/>
      <c r="H402" s="315"/>
      <c r="I402" s="313">
        <f>SUM(B402:H402)</f>
        <v>0</v>
      </c>
    </row>
    <row r="403" spans="1:9" x14ac:dyDescent="0.2">
      <c r="A403" s="318" t="s">
        <v>86</v>
      </c>
      <c r="B403" s="977"/>
      <c r="C403" s="914"/>
      <c r="D403" s="978"/>
      <c r="E403" s="800"/>
      <c r="F403" s="314"/>
      <c r="G403" s="316"/>
      <c r="H403" s="315"/>
      <c r="I403" s="313">
        <f>SUM(B403:H403)</f>
        <v>0</v>
      </c>
    </row>
    <row r="404" spans="1:9" x14ac:dyDescent="0.2">
      <c r="A404" s="318" t="s">
        <v>87</v>
      </c>
      <c r="B404" s="977"/>
      <c r="C404" s="914"/>
      <c r="D404" s="978"/>
      <c r="E404" s="800"/>
      <c r="F404" s="314"/>
      <c r="G404" s="316"/>
      <c r="H404" s="315"/>
      <c r="I404" s="313">
        <f>SUM(B404:H404)</f>
        <v>0</v>
      </c>
    </row>
    <row r="405" spans="1:9" ht="13.5" thickBot="1" x14ac:dyDescent="0.25">
      <c r="A405" s="318" t="s">
        <v>88</v>
      </c>
      <c r="B405" s="977"/>
      <c r="C405" s="914"/>
      <c r="D405" s="978"/>
      <c r="E405" s="800"/>
      <c r="F405" s="314"/>
      <c r="G405" s="316"/>
      <c r="H405" s="315"/>
      <c r="I405" s="313">
        <f>SUM(B405:H405)</f>
        <v>0</v>
      </c>
    </row>
    <row r="406" spans="1:9" ht="26.25" customHeight="1" thickBot="1" x14ac:dyDescent="0.25">
      <c r="A406" s="301" t="s">
        <v>686</v>
      </c>
      <c r="B406" s="302">
        <f t="shared" ref="B406:I406" si="17">B396+B397-B401</f>
        <v>0</v>
      </c>
      <c r="C406" s="302">
        <f t="shared" si="17"/>
        <v>0</v>
      </c>
      <c r="D406" s="302">
        <f t="shared" si="17"/>
        <v>0</v>
      </c>
      <c r="E406" s="303">
        <f t="shared" si="17"/>
        <v>0</v>
      </c>
      <c r="F406" s="302">
        <f t="shared" si="17"/>
        <v>0</v>
      </c>
      <c r="G406" s="302">
        <f t="shared" si="17"/>
        <v>0</v>
      </c>
      <c r="H406" s="303">
        <f t="shared" si="17"/>
        <v>0</v>
      </c>
      <c r="I406" s="303">
        <f t="shared" si="17"/>
        <v>0</v>
      </c>
    </row>
    <row r="407" spans="1:9" ht="40.5" customHeight="1" thickBot="1" x14ac:dyDescent="0.25">
      <c r="A407" s="300" t="s">
        <v>687</v>
      </c>
      <c r="B407" s="304"/>
      <c r="C407" s="305"/>
      <c r="D407" s="306"/>
      <c r="E407" s="307"/>
      <c r="F407" s="304"/>
      <c r="G407" s="308"/>
      <c r="H407" s="306"/>
      <c r="I407" s="307">
        <f>SUM(B407:H407)</f>
        <v>0</v>
      </c>
    </row>
    <row r="408" spans="1:9" x14ac:dyDescent="0.2">
      <c r="A408" s="366" t="s">
        <v>80</v>
      </c>
      <c r="B408" s="362"/>
      <c r="C408" s="363"/>
      <c r="D408" s="364"/>
      <c r="E408" s="369"/>
      <c r="F408" s="362"/>
      <c r="G408" s="370"/>
      <c r="H408" s="364"/>
      <c r="I408" s="369">
        <f>SUM(B408:H408)</f>
        <v>0</v>
      </c>
    </row>
    <row r="409" spans="1:9" ht="13.5" thickBot="1" x14ac:dyDescent="0.25">
      <c r="A409" s="365" t="s">
        <v>84</v>
      </c>
      <c r="B409" s="359"/>
      <c r="C409" s="360"/>
      <c r="D409" s="361"/>
      <c r="E409" s="367"/>
      <c r="F409" s="359"/>
      <c r="G409" s="368"/>
      <c r="H409" s="361"/>
      <c r="I409" s="367">
        <f>SUM(B409:H409)</f>
        <v>0</v>
      </c>
    </row>
    <row r="410" spans="1:9" ht="41.25" customHeight="1" thickBot="1" x14ac:dyDescent="0.25">
      <c r="A410" s="309" t="s">
        <v>685</v>
      </c>
      <c r="B410" s="304">
        <f>B407+B408-B409</f>
        <v>0</v>
      </c>
      <c r="C410" s="305">
        <f t="shared" ref="C410:I410" si="18">C407+C408-C409</f>
        <v>0</v>
      </c>
      <c r="D410" s="306">
        <f t="shared" si="18"/>
        <v>0</v>
      </c>
      <c r="E410" s="307">
        <f t="shared" si="18"/>
        <v>0</v>
      </c>
      <c r="F410" s="304">
        <f t="shared" si="18"/>
        <v>0</v>
      </c>
      <c r="G410" s="308">
        <f t="shared" si="18"/>
        <v>0</v>
      </c>
      <c r="H410" s="306">
        <f t="shared" si="18"/>
        <v>0</v>
      </c>
      <c r="I410" s="307">
        <f t="shared" si="18"/>
        <v>0</v>
      </c>
    </row>
    <row r="411" spans="1:9" ht="26.25" customHeight="1" thickBot="1" x14ac:dyDescent="0.25">
      <c r="A411" s="298" t="s">
        <v>972</v>
      </c>
      <c r="B411" s="922">
        <f t="shared" ref="B411:I411" si="19">B396-B407</f>
        <v>0</v>
      </c>
      <c r="C411" s="922">
        <f t="shared" si="19"/>
        <v>0</v>
      </c>
      <c r="D411" s="922">
        <f t="shared" si="19"/>
        <v>0</v>
      </c>
      <c r="E411" s="922">
        <f t="shared" si="19"/>
        <v>0</v>
      </c>
      <c r="F411" s="57">
        <f t="shared" si="19"/>
        <v>0</v>
      </c>
      <c r="G411" s="57">
        <f t="shared" si="19"/>
        <v>0</v>
      </c>
      <c r="H411" s="57">
        <f t="shared" si="19"/>
        <v>0</v>
      </c>
      <c r="I411" s="57">
        <f t="shared" si="19"/>
        <v>0</v>
      </c>
    </row>
    <row r="412" spans="1:9" ht="26.25" customHeight="1" thickBot="1" x14ac:dyDescent="0.25">
      <c r="A412" s="358" t="s">
        <v>973</v>
      </c>
      <c r="B412" s="922">
        <f>B406-B410</f>
        <v>0</v>
      </c>
      <c r="C412" s="922">
        <f t="shared" ref="C412:I412" si="20">C406-C410</f>
        <v>0</v>
      </c>
      <c r="D412" s="922">
        <f t="shared" si="20"/>
        <v>0</v>
      </c>
      <c r="E412" s="922">
        <f t="shared" si="20"/>
        <v>0</v>
      </c>
      <c r="F412" s="57">
        <f t="shared" si="20"/>
        <v>0</v>
      </c>
      <c r="G412" s="57">
        <f t="shared" si="20"/>
        <v>0</v>
      </c>
      <c r="H412" s="57">
        <f t="shared" si="20"/>
        <v>0</v>
      </c>
      <c r="I412" s="57">
        <f t="shared" si="20"/>
        <v>0</v>
      </c>
    </row>
    <row r="413" spans="1:9" ht="26.25" customHeight="1" x14ac:dyDescent="0.2">
      <c r="A413" s="74"/>
      <c r="B413" s="979"/>
      <c r="C413" s="979"/>
      <c r="D413" s="979"/>
      <c r="E413" s="979"/>
      <c r="F413" s="75"/>
      <c r="G413" s="75"/>
      <c r="H413" s="75"/>
      <c r="I413" s="75"/>
    </row>
    <row r="415" spans="1:9" ht="15" x14ac:dyDescent="0.2">
      <c r="A415" s="1550" t="s">
        <v>577</v>
      </c>
      <c r="B415" s="1623"/>
      <c r="C415" s="1623"/>
      <c r="F415" s="1130"/>
      <c r="G415" s="1130"/>
    </row>
    <row r="416" spans="1:9" ht="13.5" thickBot="1" x14ac:dyDescent="0.25">
      <c r="A416" s="902"/>
      <c r="B416" s="1305"/>
      <c r="C416" s="1305"/>
      <c r="E416" s="980"/>
      <c r="F416" s="1131"/>
      <c r="G416" s="1131"/>
      <c r="H416" s="77"/>
      <c r="I416" s="77"/>
    </row>
    <row r="417" spans="1:9" ht="13.5" thickBot="1" x14ac:dyDescent="0.25">
      <c r="A417" s="1603" t="s">
        <v>212</v>
      </c>
      <c r="B417" s="1604"/>
      <c r="C417" s="76" t="s">
        <v>389</v>
      </c>
      <c r="D417" s="1297" t="s">
        <v>529</v>
      </c>
      <c r="F417" s="1130"/>
      <c r="G417" s="1130"/>
    </row>
    <row r="418" spans="1:9" x14ac:dyDescent="0.2">
      <c r="A418" s="1608" t="s">
        <v>245</v>
      </c>
      <c r="B418" s="1609"/>
      <c r="C418" s="369">
        <v>2833.58</v>
      </c>
      <c r="D418" s="369">
        <f>680.49+444988.33-444988.33</f>
        <v>680.48999999999069</v>
      </c>
      <c r="E418" s="981"/>
      <c r="F418" s="1130"/>
      <c r="G418" s="1131"/>
      <c r="H418" s="77"/>
      <c r="I418" s="77"/>
    </row>
    <row r="419" spans="1:9" x14ac:dyDescent="0.2">
      <c r="A419" s="1610" t="s">
        <v>247</v>
      </c>
      <c r="B419" s="1611"/>
      <c r="C419" s="1302">
        <v>40676.019999999997</v>
      </c>
      <c r="D419" s="1302">
        <v>57083.360000000001</v>
      </c>
      <c r="E419" s="981"/>
    </row>
    <row r="420" spans="1:9" x14ac:dyDescent="0.2">
      <c r="A420" s="1610" t="s">
        <v>160</v>
      </c>
      <c r="B420" s="1611"/>
      <c r="C420" s="1302"/>
      <c r="D420" s="1302"/>
      <c r="E420" s="79"/>
    </row>
    <row r="421" spans="1:9" x14ac:dyDescent="0.2">
      <c r="A421" s="1610" t="s">
        <v>101</v>
      </c>
      <c r="B421" s="1611"/>
      <c r="C421" s="1303">
        <f>C422+C425+C426+C427+C428</f>
        <v>11158254.16</v>
      </c>
      <c r="D421" s="1303">
        <f>D422+D425+D426+D427+D428</f>
        <v>7905722.379999999</v>
      </c>
      <c r="E421" s="79"/>
    </row>
    <row r="422" spans="1:9" ht="27" customHeight="1" x14ac:dyDescent="0.2">
      <c r="A422" s="1366" t="s">
        <v>522</v>
      </c>
      <c r="B422" s="1367"/>
      <c r="C422" s="800">
        <f>SUM(C423:C424)</f>
        <v>90077.699999999255</v>
      </c>
      <c r="D422" s="800">
        <f>SUM(D423:D424)</f>
        <v>0</v>
      </c>
      <c r="E422" s="981"/>
    </row>
    <row r="423" spans="1:9" x14ac:dyDescent="0.2">
      <c r="A423" s="1490" t="s">
        <v>403</v>
      </c>
      <c r="B423" s="1491"/>
      <c r="C423" s="800">
        <f>2791499.77+54220.18+9021780.66+638.23</f>
        <v>11868138.84</v>
      </c>
      <c r="D423" s="800">
        <f>10907.97+437006.04+638.23+2818386.73</f>
        <v>3266938.9699999997</v>
      </c>
      <c r="E423" s="981"/>
    </row>
    <row r="424" spans="1:9" ht="25.5" customHeight="1" x14ac:dyDescent="0.2">
      <c r="A424" s="1490" t="s">
        <v>405</v>
      </c>
      <c r="B424" s="1491"/>
      <c r="C424" s="800">
        <f>-2791499.77-(10193.39+8975729.75+638.23)</f>
        <v>-11778061.140000001</v>
      </c>
      <c r="D424" s="800">
        <f>-10907.97-437006.04-638.23-2818386.73</f>
        <v>-3266938.9699999997</v>
      </c>
      <c r="E424" s="981"/>
    </row>
    <row r="425" spans="1:9" x14ac:dyDescent="0.2">
      <c r="A425" s="1366" t="s">
        <v>102</v>
      </c>
      <c r="B425" s="1367"/>
      <c r="C425" s="800">
        <v>269766.33</v>
      </c>
      <c r="D425" s="800">
        <v>0</v>
      </c>
      <c r="E425" s="982"/>
    </row>
    <row r="426" spans="1:9" x14ac:dyDescent="0.2">
      <c r="A426" s="1366" t="s">
        <v>248</v>
      </c>
      <c r="B426" s="1367"/>
      <c r="C426" s="800">
        <v>4431292.79</v>
      </c>
      <c r="D426" s="800">
        <v>4169684.629999999</v>
      </c>
    </row>
    <row r="427" spans="1:9" x14ac:dyDescent="0.2">
      <c r="A427" s="1366" t="s">
        <v>103</v>
      </c>
      <c r="B427" s="1367"/>
      <c r="C427" s="800"/>
      <c r="D427" s="800"/>
    </row>
    <row r="428" spans="1:9" x14ac:dyDescent="0.2">
      <c r="A428" s="1366" t="s">
        <v>118</v>
      </c>
      <c r="B428" s="1367"/>
      <c r="C428" s="800">
        <f>6337403.38+20200+9513.96</f>
        <v>6367117.3399999999</v>
      </c>
      <c r="D428" s="800">
        <f>29099.74+57834.19+20569.3+20000+3608534.52</f>
        <v>3736037.75</v>
      </c>
    </row>
    <row r="429" spans="1:9" ht="24.75" customHeight="1" thickBot="1" x14ac:dyDescent="0.25">
      <c r="A429" s="1632" t="s">
        <v>104</v>
      </c>
      <c r="B429" s="1633"/>
      <c r="C429" s="1304"/>
      <c r="D429" s="1304"/>
    </row>
    <row r="430" spans="1:9" ht="13.5" thickBot="1" x14ac:dyDescent="0.25">
      <c r="A430" s="1634" t="s">
        <v>232</v>
      </c>
      <c r="B430" s="1635"/>
      <c r="C430" s="922">
        <f>SUM(C418+C419+C420+C421+C429)</f>
        <v>11201763.76</v>
      </c>
      <c r="D430" s="922">
        <f>SUM(D418+D419+D420+D421+D429)</f>
        <v>7963486.2299999986</v>
      </c>
      <c r="F430" s="80">
        <f>Bilans!C38-'Załącznik 21'!D430</f>
        <v>0</v>
      </c>
    </row>
    <row r="433" spans="1:4" ht="15" x14ac:dyDescent="0.2">
      <c r="A433" s="983" t="s">
        <v>546</v>
      </c>
      <c r="B433" s="980"/>
      <c r="C433" s="980"/>
      <c r="D433" s="980"/>
    </row>
    <row r="434" spans="1:4" ht="13.5" thickBot="1" x14ac:dyDescent="0.25"/>
    <row r="435" spans="1:4" ht="13.5" thickBot="1" x14ac:dyDescent="0.25">
      <c r="A435" s="984" t="s">
        <v>100</v>
      </c>
      <c r="B435" s="985"/>
      <c r="C435" s="985"/>
      <c r="D435" s="986"/>
    </row>
    <row r="436" spans="1:4" ht="13.5" thickBot="1" x14ac:dyDescent="0.25">
      <c r="A436" s="1605" t="s">
        <v>389</v>
      </c>
      <c r="B436" s="1606"/>
      <c r="C436" s="1605" t="s">
        <v>529</v>
      </c>
      <c r="D436" s="1606"/>
    </row>
    <row r="437" spans="1:4" ht="13.5" thickBot="1" x14ac:dyDescent="0.25">
      <c r="A437" s="1488" t="s">
        <v>893</v>
      </c>
      <c r="B437" s="1489"/>
      <c r="C437" s="1488" t="s">
        <v>893</v>
      </c>
      <c r="D437" s="1489"/>
    </row>
    <row r="440" spans="1:4" ht="15" x14ac:dyDescent="0.2">
      <c r="A440" s="1550" t="s">
        <v>699</v>
      </c>
      <c r="B440" s="1550"/>
      <c r="C440" s="1550"/>
      <c r="D440" s="1551"/>
    </row>
    <row r="441" spans="1:4" ht="14.25" customHeight="1" x14ac:dyDescent="0.2">
      <c r="A441" s="1607" t="s">
        <v>496</v>
      </c>
      <c r="B441" s="1607"/>
      <c r="C441" s="1607"/>
    </row>
    <row r="442" spans="1:4" ht="13.5" thickBot="1" x14ac:dyDescent="0.25">
      <c r="A442" s="79"/>
    </row>
    <row r="443" spans="1:4" ht="13.5" thickBot="1" x14ac:dyDescent="0.25">
      <c r="A443" s="1590" t="s">
        <v>36</v>
      </c>
      <c r="B443" s="1636"/>
      <c r="C443" s="60" t="s">
        <v>57</v>
      </c>
      <c r="D443" s="60" t="s">
        <v>974</v>
      </c>
    </row>
    <row r="444" spans="1:4" ht="28.15" customHeight="1" x14ac:dyDescent="0.2">
      <c r="A444" s="1612" t="s">
        <v>697</v>
      </c>
      <c r="B444" s="1613"/>
      <c r="C444" s="81" t="s">
        <v>893</v>
      </c>
      <c r="D444" s="82" t="s">
        <v>893</v>
      </c>
    </row>
    <row r="445" spans="1:4" x14ac:dyDescent="0.2">
      <c r="A445" s="1461" t="s">
        <v>698</v>
      </c>
      <c r="B445" s="1433"/>
      <c r="C445" s="83"/>
      <c r="D445" s="84"/>
    </row>
    <row r="446" spans="1:4" x14ac:dyDescent="0.2">
      <c r="A446" s="1624" t="s">
        <v>63</v>
      </c>
      <c r="B446" s="1625"/>
      <c r="C446" s="85"/>
      <c r="D446" s="86"/>
    </row>
    <row r="447" spans="1:4" x14ac:dyDescent="0.2">
      <c r="A447" s="1626" t="s">
        <v>64</v>
      </c>
      <c r="B447" s="1431"/>
      <c r="C447" s="83"/>
      <c r="D447" s="84"/>
    </row>
    <row r="448" spans="1:4" ht="13.5" customHeight="1" thickBot="1" x14ac:dyDescent="0.25">
      <c r="A448" s="1627" t="s">
        <v>77</v>
      </c>
      <c r="B448" s="1628"/>
      <c r="C448" s="87"/>
      <c r="D448" s="88"/>
    </row>
    <row r="452" spans="1:3" x14ac:dyDescent="0.2">
      <c r="A452" s="987" t="s">
        <v>602</v>
      </c>
      <c r="B452" s="987"/>
      <c r="C452" s="987"/>
    </row>
    <row r="453" spans="1:3" ht="13.5" thickBot="1" x14ac:dyDescent="0.25">
      <c r="A453" s="902"/>
      <c r="B453" s="902"/>
      <c r="C453" s="902"/>
    </row>
    <row r="454" spans="1:3" ht="26.25" thickBot="1" x14ac:dyDescent="0.25">
      <c r="A454" s="811"/>
      <c r="B454" s="76" t="s">
        <v>58</v>
      </c>
      <c r="C454" s="54" t="s">
        <v>146</v>
      </c>
    </row>
    <row r="455" spans="1:3" ht="13.5" thickBot="1" x14ac:dyDescent="0.25">
      <c r="A455" s="812" t="s">
        <v>198</v>
      </c>
      <c r="B455" s="988">
        <f>B456+B461</f>
        <v>0</v>
      </c>
      <c r="C455" s="988">
        <f>C456+C461</f>
        <v>0</v>
      </c>
    </row>
    <row r="456" spans="1:3" x14ac:dyDescent="0.2">
      <c r="A456" s="319" t="s">
        <v>563</v>
      </c>
      <c r="B456" s="319">
        <f>SUM(B458:B460)</f>
        <v>0</v>
      </c>
      <c r="C456" s="319">
        <f>SUM(C458:C460)</f>
        <v>0</v>
      </c>
    </row>
    <row r="457" spans="1:3" x14ac:dyDescent="0.2">
      <c r="A457" s="121" t="s">
        <v>222</v>
      </c>
      <c r="B457" s="121"/>
      <c r="C457" s="815"/>
    </row>
    <row r="458" spans="1:3" x14ac:dyDescent="0.2">
      <c r="A458" s="90"/>
      <c r="B458" s="121"/>
      <c r="C458" s="815"/>
    </row>
    <row r="459" spans="1:3" x14ac:dyDescent="0.2">
      <c r="A459" s="90"/>
      <c r="B459" s="121"/>
      <c r="C459" s="815"/>
    </row>
    <row r="460" spans="1:3" ht="13.5" thickBot="1" x14ac:dyDescent="0.25">
      <c r="A460" s="92"/>
      <c r="B460" s="797"/>
      <c r="C460" s="989"/>
    </row>
    <row r="461" spans="1:3" x14ac:dyDescent="0.2">
      <c r="A461" s="319" t="s">
        <v>564</v>
      </c>
      <c r="B461" s="319">
        <f>SUM(B463:B464)</f>
        <v>0</v>
      </c>
      <c r="C461" s="319">
        <f>SUM(C463:C464)</f>
        <v>0</v>
      </c>
    </row>
    <row r="462" spans="1:3" x14ac:dyDescent="0.2">
      <c r="A462" s="121" t="s">
        <v>222</v>
      </c>
      <c r="B462" s="795"/>
      <c r="C462" s="806"/>
    </row>
    <row r="463" spans="1:3" x14ac:dyDescent="0.2">
      <c r="A463" s="95"/>
      <c r="B463" s="795"/>
      <c r="C463" s="806"/>
    </row>
    <row r="464" spans="1:3" ht="13.5" thickBot="1" x14ac:dyDescent="0.25">
      <c r="A464" s="96"/>
      <c r="B464" s="797"/>
      <c r="C464" s="989"/>
    </row>
    <row r="465" spans="1:9" ht="13.5" thickBot="1" x14ac:dyDescent="0.25">
      <c r="A465" s="812" t="s">
        <v>199</v>
      </c>
      <c r="B465" s="988">
        <f>B466+B471</f>
        <v>7176881.7599999998</v>
      </c>
      <c r="C465" s="988">
        <f>C466+C471</f>
        <v>6146833.4000000004</v>
      </c>
    </row>
    <row r="466" spans="1:9" x14ac:dyDescent="0.2">
      <c r="A466" s="817" t="s">
        <v>563</v>
      </c>
      <c r="B466" s="319">
        <f>SUM(B468:B470)</f>
        <v>7176881.7599999998</v>
      </c>
      <c r="C466" s="319">
        <f>SUM(C468:C470)</f>
        <v>6146833.4000000004</v>
      </c>
    </row>
    <row r="467" spans="1:9" x14ac:dyDescent="0.2">
      <c r="A467" s="813" t="s">
        <v>222</v>
      </c>
      <c r="B467" s="121"/>
      <c r="C467" s="815"/>
    </row>
    <row r="468" spans="1:9" s="1216" customFormat="1" ht="45" customHeight="1" x14ac:dyDescent="0.2">
      <c r="A468" s="727" t="s">
        <v>963</v>
      </c>
      <c r="B468" s="121">
        <v>7108797.1799999997</v>
      </c>
      <c r="C468" s="1215">
        <v>5620023.0999999996</v>
      </c>
      <c r="D468" s="80"/>
      <c r="E468" s="80"/>
    </row>
    <row r="469" spans="1:9" s="1216" customFormat="1" ht="63.75" x14ac:dyDescent="0.2">
      <c r="A469" s="727" t="s">
        <v>1042</v>
      </c>
      <c r="B469" s="121">
        <v>6084.58</v>
      </c>
      <c r="C469" s="121">
        <v>19467.61</v>
      </c>
      <c r="D469" s="80"/>
      <c r="E469" s="80"/>
    </row>
    <row r="470" spans="1:9" ht="76.5" x14ac:dyDescent="0.2">
      <c r="A470" s="727" t="s">
        <v>1051</v>
      </c>
      <c r="B470" s="121">
        <v>62000</v>
      </c>
      <c r="C470" s="121">
        <v>507342.68999999994</v>
      </c>
    </row>
    <row r="471" spans="1:9" x14ac:dyDescent="0.2">
      <c r="A471" s="320" t="s">
        <v>564</v>
      </c>
      <c r="B471" s="990">
        <f>SUM(B473:B475)</f>
        <v>0</v>
      </c>
      <c r="C471" s="990">
        <f>SUM(C473:C475)</f>
        <v>0</v>
      </c>
    </row>
    <row r="472" spans="1:9" x14ac:dyDescent="0.2">
      <c r="A472" s="813" t="s">
        <v>222</v>
      </c>
      <c r="B472" s="121"/>
      <c r="C472" s="121"/>
    </row>
    <row r="473" spans="1:9" x14ac:dyDescent="0.2">
      <c r="A473" s="97"/>
      <c r="B473" s="121"/>
      <c r="C473" s="121"/>
    </row>
    <row r="474" spans="1:9" x14ac:dyDescent="0.2">
      <c r="A474" s="97"/>
      <c r="B474" s="121"/>
      <c r="C474" s="121"/>
    </row>
    <row r="475" spans="1:9" ht="13.5" thickBot="1" x14ac:dyDescent="0.25">
      <c r="A475" s="991"/>
      <c r="B475" s="992"/>
      <c r="C475" s="992"/>
    </row>
    <row r="476" spans="1:9" x14ac:dyDescent="0.2">
      <c r="A476" s="987"/>
      <c r="B476" s="987"/>
      <c r="C476" s="987"/>
    </row>
    <row r="477" spans="1:9" ht="43.5" customHeight="1" x14ac:dyDescent="0.2">
      <c r="A477" s="1393" t="s">
        <v>695</v>
      </c>
      <c r="B477" s="1393"/>
      <c r="C477" s="1393"/>
      <c r="D477" s="1393"/>
      <c r="E477" s="1394"/>
      <c r="F477" s="1394"/>
      <c r="G477" s="1394"/>
      <c r="H477" s="1394"/>
      <c r="I477" s="1394"/>
    </row>
    <row r="478" spans="1:9" ht="13.5" thickBot="1" x14ac:dyDescent="0.25">
      <c r="A478" s="74"/>
      <c r="B478" s="74"/>
      <c r="C478" s="74"/>
      <c r="D478" s="74"/>
      <c r="E478" s="6"/>
      <c r="F478" s="6"/>
      <c r="G478" s="6"/>
      <c r="H478" s="6"/>
      <c r="I478" s="6"/>
    </row>
    <row r="479" spans="1:9" ht="55.5" customHeight="1" thickBot="1" x14ac:dyDescent="0.25">
      <c r="A479" s="1620" t="s">
        <v>722</v>
      </c>
      <c r="B479" s="1621"/>
      <c r="C479" s="1621"/>
      <c r="D479" s="1621"/>
      <c r="E479" s="1622"/>
    </row>
    <row r="480" spans="1:9" ht="24.75" customHeight="1" thickBot="1" x14ac:dyDescent="0.25">
      <c r="A480" s="1421" t="s">
        <v>389</v>
      </c>
      <c r="B480" s="1614"/>
      <c r="C480" s="1615" t="s">
        <v>390</v>
      </c>
      <c r="D480" s="1616"/>
      <c r="E480" s="993" t="s">
        <v>292</v>
      </c>
    </row>
    <row r="481" spans="1:7" ht="20.25" customHeight="1" thickBot="1" x14ac:dyDescent="0.25">
      <c r="A481" s="1488"/>
      <c r="B481" s="1617"/>
      <c r="C481" s="1618"/>
      <c r="D481" s="1619"/>
      <c r="E481" s="994"/>
    </row>
    <row r="482" spans="1:7" x14ac:dyDescent="0.2">
      <c r="A482" s="987"/>
      <c r="B482" s="987"/>
      <c r="C482" s="987"/>
    </row>
    <row r="483" spans="1:7" x14ac:dyDescent="0.2">
      <c r="A483" s="987"/>
      <c r="B483" s="987"/>
      <c r="C483" s="987"/>
    </row>
    <row r="484" spans="1:7" x14ac:dyDescent="0.2">
      <c r="A484" s="987"/>
      <c r="B484" s="987"/>
      <c r="C484" s="987"/>
    </row>
    <row r="485" spans="1:7" x14ac:dyDescent="0.2">
      <c r="A485" s="987"/>
      <c r="B485" s="987"/>
      <c r="C485" s="987"/>
    </row>
    <row r="486" spans="1:7" x14ac:dyDescent="0.2">
      <c r="A486" s="987"/>
      <c r="B486" s="987"/>
      <c r="C486" s="987"/>
    </row>
    <row r="487" spans="1:7" x14ac:dyDescent="0.2">
      <c r="A487" s="987"/>
      <c r="B487" s="987"/>
      <c r="C487" s="987"/>
    </row>
    <row r="488" spans="1:7" x14ac:dyDescent="0.2">
      <c r="A488" s="987"/>
      <c r="B488" s="987"/>
      <c r="C488" s="987"/>
    </row>
    <row r="489" spans="1:7" x14ac:dyDescent="0.2">
      <c r="A489" s="987"/>
      <c r="B489" s="987"/>
      <c r="C489" s="987"/>
    </row>
    <row r="490" spans="1:7" x14ac:dyDescent="0.2">
      <c r="A490" s="987"/>
      <c r="B490" s="987"/>
      <c r="C490" s="987"/>
    </row>
    <row r="491" spans="1:7" x14ac:dyDescent="0.2">
      <c r="A491" s="987" t="s">
        <v>609</v>
      </c>
      <c r="B491" s="987"/>
      <c r="C491" s="987"/>
    </row>
    <row r="492" spans="1:7" x14ac:dyDescent="0.2">
      <c r="A492" s="1395" t="s">
        <v>593</v>
      </c>
      <c r="B492" s="1395"/>
      <c r="C492" s="1395"/>
    </row>
    <row r="493" spans="1:7" ht="13.5" thickBot="1" x14ac:dyDescent="0.25">
      <c r="A493" s="987"/>
      <c r="B493" s="987"/>
      <c r="C493" s="987"/>
    </row>
    <row r="494" spans="1:7" ht="26.25" thickBot="1" x14ac:dyDescent="0.25">
      <c r="A494" s="1407" t="s">
        <v>682</v>
      </c>
      <c r="B494" s="1408"/>
      <c r="C494" s="1408"/>
      <c r="D494" s="1409"/>
      <c r="E494" s="76" t="s">
        <v>58</v>
      </c>
      <c r="F494" s="54" t="s">
        <v>146</v>
      </c>
      <c r="G494" s="98"/>
    </row>
    <row r="495" spans="1:7" ht="14.25" customHeight="1" thickBot="1" x14ac:dyDescent="0.25">
      <c r="A495" s="1355" t="s">
        <v>694</v>
      </c>
      <c r="B495" s="1356"/>
      <c r="C495" s="1356"/>
      <c r="D495" s="1357"/>
      <c r="E495" s="722">
        <f>SUM(E496:E503)</f>
        <v>8458758.160000002</v>
      </c>
      <c r="F495" s="1278">
        <f>SUM(F496:F503)</f>
        <v>10165098.590000002</v>
      </c>
      <c r="G495" s="99"/>
    </row>
    <row r="496" spans="1:7" x14ac:dyDescent="0.2">
      <c r="A496" s="1416" t="s">
        <v>414</v>
      </c>
      <c r="B496" s="1417"/>
      <c r="C496" s="1417"/>
      <c r="D496" s="1418"/>
      <c r="E496" s="94">
        <v>6550089.4000000004</v>
      </c>
      <c r="F496" s="1279">
        <v>9054867.4800000004</v>
      </c>
      <c r="G496" s="42"/>
    </row>
    <row r="497" spans="1:7" x14ac:dyDescent="0.2">
      <c r="A497" s="1347" t="s">
        <v>415</v>
      </c>
      <c r="B497" s="1348"/>
      <c r="C497" s="1348"/>
      <c r="D497" s="1349"/>
      <c r="E497" s="91">
        <v>347147.8</v>
      </c>
      <c r="F497" s="1280">
        <v>345433.63</v>
      </c>
      <c r="G497" s="42"/>
    </row>
    <row r="498" spans="1:7" x14ac:dyDescent="0.2">
      <c r="A498" s="1347" t="s">
        <v>416</v>
      </c>
      <c r="B498" s="1348"/>
      <c r="C498" s="1348"/>
      <c r="D498" s="1349"/>
      <c r="E498" s="91"/>
      <c r="F498" s="1280"/>
      <c r="G498" s="42"/>
    </row>
    <row r="499" spans="1:7" x14ac:dyDescent="0.2">
      <c r="A499" s="1347" t="s">
        <v>417</v>
      </c>
      <c r="B499" s="1348"/>
      <c r="C499" s="1348"/>
      <c r="D499" s="1349"/>
      <c r="E499" s="91"/>
      <c r="F499" s="91"/>
      <c r="G499" s="42"/>
    </row>
    <row r="500" spans="1:7" x14ac:dyDescent="0.2">
      <c r="A500" s="1347" t="s">
        <v>418</v>
      </c>
      <c r="B500" s="1348"/>
      <c r="C500" s="1348"/>
      <c r="D500" s="1349"/>
      <c r="E500" s="91">
        <v>1456143.1700000004</v>
      </c>
      <c r="F500" s="91">
        <v>506296.42</v>
      </c>
      <c r="G500" s="42"/>
    </row>
    <row r="501" spans="1:7" ht="24.75" customHeight="1" x14ac:dyDescent="0.2">
      <c r="A501" s="1372" t="s">
        <v>419</v>
      </c>
      <c r="B501" s="1373"/>
      <c r="C501" s="1373"/>
      <c r="D501" s="1374"/>
      <c r="E501" s="91"/>
      <c r="F501" s="91"/>
      <c r="G501" s="42"/>
    </row>
    <row r="502" spans="1:7" x14ac:dyDescent="0.2">
      <c r="A502" s="1372" t="s">
        <v>420</v>
      </c>
      <c r="B502" s="1373"/>
      <c r="C502" s="1373"/>
      <c r="D502" s="1374"/>
      <c r="E502" s="91">
        <v>85377.22</v>
      </c>
      <c r="F502" s="91">
        <v>124659.97</v>
      </c>
      <c r="G502" s="42"/>
    </row>
    <row r="503" spans="1:7" ht="13.5" thickBot="1" x14ac:dyDescent="0.25">
      <c r="A503" s="1358" t="s">
        <v>421</v>
      </c>
      <c r="B503" s="1359"/>
      <c r="C503" s="1359"/>
      <c r="D503" s="1360"/>
      <c r="E503" s="113">
        <v>20000.57</v>
      </c>
      <c r="F503" s="91">
        <v>133841.09000000003</v>
      </c>
      <c r="G503" s="42"/>
    </row>
    <row r="504" spans="1:7" ht="13.5" thickBot="1" x14ac:dyDescent="0.25">
      <c r="A504" s="1355" t="s">
        <v>547</v>
      </c>
      <c r="B504" s="1356"/>
      <c r="C504" s="1356"/>
      <c r="D504" s="1357"/>
      <c r="E504" s="780">
        <v>33390.97</v>
      </c>
      <c r="F504" s="780">
        <v>4691.03</v>
      </c>
      <c r="G504" s="42"/>
    </row>
    <row r="505" spans="1:7" ht="13.5" thickBot="1" x14ac:dyDescent="0.25">
      <c r="A505" s="1452" t="s">
        <v>548</v>
      </c>
      <c r="B505" s="1453"/>
      <c r="C505" s="1453"/>
      <c r="D505" s="1454"/>
      <c r="E505" s="781"/>
      <c r="F505" s="1282"/>
      <c r="G505" s="42"/>
    </row>
    <row r="506" spans="1:7" ht="13.5" thickBot="1" x14ac:dyDescent="0.25">
      <c r="A506" s="1452" t="s">
        <v>549</v>
      </c>
      <c r="B506" s="1453"/>
      <c r="C506" s="1453"/>
      <c r="D506" s="1454"/>
      <c r="E506" s="780"/>
      <c r="F506" s="1281"/>
      <c r="G506" s="42"/>
    </row>
    <row r="507" spans="1:7" ht="13.5" thickBot="1" x14ac:dyDescent="0.25">
      <c r="A507" s="1452" t="s">
        <v>616</v>
      </c>
      <c r="B507" s="1453"/>
      <c r="C507" s="1453"/>
      <c r="D507" s="1454"/>
      <c r="E507" s="780"/>
      <c r="F507" s="1281"/>
      <c r="G507" s="42"/>
    </row>
    <row r="508" spans="1:7" ht="13.5" thickBot="1" x14ac:dyDescent="0.25">
      <c r="A508" s="1452" t="s">
        <v>550</v>
      </c>
      <c r="B508" s="1453"/>
      <c r="C508" s="1453"/>
      <c r="D508" s="1454"/>
      <c r="E508" s="722">
        <f>SUM(E509+E517+E520+E523)</f>
        <v>9998506.8800000008</v>
      </c>
      <c r="F508" s="1278">
        <f>SUM(F509+F517+F520+F523)</f>
        <v>8021773.3099999987</v>
      </c>
      <c r="G508" s="99"/>
    </row>
    <row r="509" spans="1:7" x14ac:dyDescent="0.2">
      <c r="A509" s="1416" t="s">
        <v>109</v>
      </c>
      <c r="B509" s="1417"/>
      <c r="C509" s="1417"/>
      <c r="D509" s="1418"/>
      <c r="E509" s="114">
        <f>SUM(E510:E516)</f>
        <v>8656923.3800000008</v>
      </c>
      <c r="F509" s="1283">
        <f>SUM(F510:F516)</f>
        <v>7661039.5799999991</v>
      </c>
    </row>
    <row r="510" spans="1:7" x14ac:dyDescent="0.2">
      <c r="A510" s="1375" t="s">
        <v>110</v>
      </c>
      <c r="B510" s="1376"/>
      <c r="C510" s="1376"/>
      <c r="D510" s="1377"/>
      <c r="E510" s="102"/>
      <c r="F510" s="102"/>
      <c r="G510" s="100"/>
    </row>
    <row r="511" spans="1:7" x14ac:dyDescent="0.2">
      <c r="A511" s="1375" t="s">
        <v>111</v>
      </c>
      <c r="B511" s="1376"/>
      <c r="C511" s="1376"/>
      <c r="D511" s="1377"/>
      <c r="E511" s="102"/>
      <c r="F511" s="102"/>
      <c r="G511" s="100"/>
    </row>
    <row r="512" spans="1:7" x14ac:dyDescent="0.2">
      <c r="A512" s="1375" t="s">
        <v>112</v>
      </c>
      <c r="B512" s="1376"/>
      <c r="C512" s="1376"/>
      <c r="D512" s="1377"/>
      <c r="E512" s="102"/>
      <c r="F512" s="102"/>
      <c r="G512" s="100"/>
    </row>
    <row r="513" spans="1:7" x14ac:dyDescent="0.2">
      <c r="A513" s="1375" t="s">
        <v>422</v>
      </c>
      <c r="B513" s="1376"/>
      <c r="C513" s="1376"/>
      <c r="D513" s="1377"/>
      <c r="E513" s="102"/>
      <c r="F513" s="102"/>
      <c r="G513" s="100"/>
    </row>
    <row r="514" spans="1:7" x14ac:dyDescent="0.2">
      <c r="A514" s="1375" t="s">
        <v>117</v>
      </c>
      <c r="B514" s="1376"/>
      <c r="C514" s="1376"/>
      <c r="D514" s="1377"/>
      <c r="E514" s="102"/>
      <c r="F514" s="102"/>
      <c r="G514" s="100"/>
    </row>
    <row r="515" spans="1:7" x14ac:dyDescent="0.2">
      <c r="A515" s="1375" t="s">
        <v>423</v>
      </c>
      <c r="B515" s="1376"/>
      <c r="C515" s="1376"/>
      <c r="D515" s="1377"/>
      <c r="E515" s="102"/>
      <c r="F515" s="102"/>
      <c r="G515" s="100"/>
    </row>
    <row r="516" spans="1:7" x14ac:dyDescent="0.2">
      <c r="A516" s="1375" t="s">
        <v>118</v>
      </c>
      <c r="B516" s="1376"/>
      <c r="C516" s="1376"/>
      <c r="D516" s="1377"/>
      <c r="E516" s="102">
        <v>8656923.3800000008</v>
      </c>
      <c r="F516" s="102">
        <v>7661039.5799999991</v>
      </c>
      <c r="G516" s="100"/>
    </row>
    <row r="517" spans="1:7" x14ac:dyDescent="0.2">
      <c r="A517" s="1372" t="s">
        <v>119</v>
      </c>
      <c r="B517" s="1373"/>
      <c r="C517" s="1373"/>
      <c r="D517" s="1374"/>
      <c r="E517" s="33">
        <f>SUM(E518:E519)</f>
        <v>0</v>
      </c>
      <c r="F517" s="1284"/>
    </row>
    <row r="518" spans="1:7" x14ac:dyDescent="0.2">
      <c r="A518" s="1375" t="s">
        <v>120</v>
      </c>
      <c r="B518" s="1376"/>
      <c r="C518" s="1376"/>
      <c r="D518" s="1377"/>
      <c r="E518" s="102"/>
      <c r="F518" s="102"/>
      <c r="G518" s="100"/>
    </row>
    <row r="519" spans="1:7" x14ac:dyDescent="0.2">
      <c r="A519" s="1375" t="s">
        <v>121</v>
      </c>
      <c r="B519" s="1376"/>
      <c r="C519" s="1376"/>
      <c r="D519" s="1377"/>
      <c r="E519" s="102"/>
      <c r="F519" s="102"/>
      <c r="G519" s="100"/>
    </row>
    <row r="520" spans="1:7" x14ac:dyDescent="0.2">
      <c r="A520" s="1347" t="s">
        <v>122</v>
      </c>
      <c r="B520" s="1348"/>
      <c r="C520" s="1348"/>
      <c r="D520" s="1349"/>
      <c r="E520" s="33">
        <f>SUM(E521:E522)</f>
        <v>0</v>
      </c>
      <c r="F520" s="1284">
        <f>SUM(F521:F522)</f>
        <v>0</v>
      </c>
    </row>
    <row r="521" spans="1:7" x14ac:dyDescent="0.2">
      <c r="A521" s="1375" t="s">
        <v>123</v>
      </c>
      <c r="B521" s="1376"/>
      <c r="C521" s="1376"/>
      <c r="D521" s="1377"/>
      <c r="E521" s="102">
        <v>0</v>
      </c>
      <c r="F521" s="102">
        <v>0</v>
      </c>
      <c r="G521" s="100"/>
    </row>
    <row r="522" spans="1:7" x14ac:dyDescent="0.2">
      <c r="A522" s="1375" t="s">
        <v>124</v>
      </c>
      <c r="B522" s="1376"/>
      <c r="C522" s="1376"/>
      <c r="D522" s="1377"/>
      <c r="E522" s="102"/>
      <c r="F522" s="102"/>
      <c r="G522" s="100"/>
    </row>
    <row r="523" spans="1:7" x14ac:dyDescent="0.2">
      <c r="A523" s="1347" t="s">
        <v>125</v>
      </c>
      <c r="B523" s="1348"/>
      <c r="C523" s="1348"/>
      <c r="D523" s="1349"/>
      <c r="E523" s="33">
        <f>SUM(E524:E537)</f>
        <v>1341583.5</v>
      </c>
      <c r="F523" s="1284">
        <f>SUM(F524:F537)</f>
        <v>360733.73</v>
      </c>
    </row>
    <row r="524" spans="1:7" x14ac:dyDescent="0.2">
      <c r="A524" s="1375" t="s">
        <v>126</v>
      </c>
      <c r="B524" s="1376"/>
      <c r="C524" s="1376"/>
      <c r="D524" s="1377"/>
      <c r="E524" s="719">
        <v>339723.68</v>
      </c>
      <c r="F524" s="1285">
        <v>-33556.51</v>
      </c>
      <c r="G524" s="42"/>
    </row>
    <row r="525" spans="1:7" x14ac:dyDescent="0.2">
      <c r="A525" s="1375" t="s">
        <v>127</v>
      </c>
      <c r="B525" s="1376"/>
      <c r="C525" s="1376"/>
      <c r="D525" s="1377"/>
      <c r="E525" s="102">
        <v>0</v>
      </c>
      <c r="F525" s="1286">
        <v>0</v>
      </c>
      <c r="G525" s="42"/>
    </row>
    <row r="526" spans="1:7" x14ac:dyDescent="0.2">
      <c r="A526" s="1375" t="s">
        <v>696</v>
      </c>
      <c r="B526" s="1376"/>
      <c r="C526" s="1376"/>
      <c r="D526" s="1377"/>
      <c r="E526" s="724"/>
      <c r="F526" s="1287"/>
      <c r="G526" s="118"/>
    </row>
    <row r="527" spans="1:7" x14ac:dyDescent="0.2">
      <c r="A527" s="1375" t="s">
        <v>128</v>
      </c>
      <c r="B527" s="1376"/>
      <c r="C527" s="1376"/>
      <c r="D527" s="1377"/>
      <c r="E527" s="102"/>
      <c r="F527" s="1286"/>
      <c r="G527" s="42"/>
    </row>
    <row r="528" spans="1:7" x14ac:dyDescent="0.2">
      <c r="A528" s="1375" t="s">
        <v>424</v>
      </c>
      <c r="B528" s="1376"/>
      <c r="C528" s="1376"/>
      <c r="D528" s="1377"/>
      <c r="E528" s="102"/>
      <c r="F528" s="1286"/>
      <c r="G528" s="42"/>
    </row>
    <row r="529" spans="1:9" x14ac:dyDescent="0.2">
      <c r="A529" s="1375" t="s">
        <v>425</v>
      </c>
      <c r="B529" s="1376"/>
      <c r="C529" s="1376"/>
      <c r="D529" s="1377"/>
      <c r="E529" s="102"/>
      <c r="F529" s="1286"/>
      <c r="G529" s="42"/>
    </row>
    <row r="530" spans="1:9" x14ac:dyDescent="0.2">
      <c r="A530" s="1375" t="s">
        <v>133</v>
      </c>
      <c r="B530" s="1376"/>
      <c r="C530" s="1376"/>
      <c r="D530" s="1377"/>
      <c r="E530" s="102"/>
      <c r="F530" s="1286"/>
      <c r="G530" s="42"/>
    </row>
    <row r="531" spans="1:9" x14ac:dyDescent="0.2">
      <c r="A531" s="1375" t="s">
        <v>134</v>
      </c>
      <c r="B531" s="1376"/>
      <c r="C531" s="1376"/>
      <c r="D531" s="1377"/>
      <c r="E531" s="102"/>
      <c r="F531" s="1286"/>
      <c r="G531" s="42"/>
    </row>
    <row r="532" spans="1:9" x14ac:dyDescent="0.2">
      <c r="A532" s="1375" t="s">
        <v>135</v>
      </c>
      <c r="B532" s="1376"/>
      <c r="C532" s="1376"/>
      <c r="D532" s="1377"/>
      <c r="E532" s="102"/>
      <c r="F532" s="1286"/>
      <c r="G532" s="42"/>
    </row>
    <row r="533" spans="1:9" x14ac:dyDescent="0.2">
      <c r="A533" s="1378" t="s">
        <v>136</v>
      </c>
      <c r="B533" s="1379"/>
      <c r="C533" s="1379"/>
      <c r="D533" s="1380"/>
      <c r="E533" s="782">
        <v>656610.43999999994</v>
      </c>
      <c r="F533" s="1288">
        <v>291987.13</v>
      </c>
      <c r="G533" s="42"/>
    </row>
    <row r="534" spans="1:9" x14ac:dyDescent="0.2">
      <c r="A534" s="1378" t="s">
        <v>426</v>
      </c>
      <c r="B534" s="1379"/>
      <c r="C534" s="1379"/>
      <c r="D534" s="1380"/>
      <c r="E534" s="782"/>
      <c r="F534" s="1288"/>
      <c r="G534" s="42"/>
    </row>
    <row r="535" spans="1:9" x14ac:dyDescent="0.2">
      <c r="A535" s="1378" t="s">
        <v>427</v>
      </c>
      <c r="B535" s="1379"/>
      <c r="C535" s="1379"/>
      <c r="D535" s="1380"/>
      <c r="E535" s="782"/>
      <c r="F535" s="1288"/>
      <c r="G535" s="42"/>
    </row>
    <row r="536" spans="1:9" x14ac:dyDescent="0.2">
      <c r="A536" s="1387" t="s">
        <v>13</v>
      </c>
      <c r="B536" s="1388"/>
      <c r="C536" s="1388"/>
      <c r="D536" s="1389"/>
      <c r="E536" s="783"/>
      <c r="F536" s="1289"/>
      <c r="G536" s="42"/>
    </row>
    <row r="537" spans="1:9" ht="15.75" customHeight="1" thickBot="1" x14ac:dyDescent="0.25">
      <c r="A537" s="1423" t="s">
        <v>711</v>
      </c>
      <c r="B537" s="1424"/>
      <c r="C537" s="1424"/>
      <c r="D537" s="1425"/>
      <c r="E537" s="784">
        <v>345249.38</v>
      </c>
      <c r="F537" s="1290">
        <v>102303.11</v>
      </c>
      <c r="G537" s="42"/>
      <c r="I537" s="118"/>
    </row>
    <row r="538" spans="1:9" ht="13.5" thickBot="1" x14ac:dyDescent="0.25">
      <c r="A538" s="1381" t="s">
        <v>551</v>
      </c>
      <c r="B538" s="1382"/>
      <c r="C538" s="1382"/>
      <c r="D538" s="1383"/>
      <c r="E538" s="785">
        <f>SUM(E495+E504+E505+E506+E507+E508)</f>
        <v>18490656.010000005</v>
      </c>
      <c r="F538" s="1291">
        <f>SUM(F495+F504+F505+F506+F507+F508)</f>
        <v>18191562.93</v>
      </c>
      <c r="G538" s="77"/>
      <c r="H538" s="5">
        <f>RZiS!K16-'Załącznik 21'!F538</f>
        <v>0</v>
      </c>
    </row>
    <row r="540" spans="1:9" x14ac:dyDescent="0.2">
      <c r="A540" s="1426" t="s">
        <v>594</v>
      </c>
      <c r="B540" s="1391"/>
      <c r="C540" s="1391"/>
      <c r="D540" s="1391"/>
    </row>
    <row r="541" spans="1:9" ht="13.5" thickBot="1" x14ac:dyDescent="0.25">
      <c r="A541" s="987"/>
      <c r="B541" s="987"/>
      <c r="C541" s="1"/>
    </row>
    <row r="542" spans="1:9" x14ac:dyDescent="0.2">
      <c r="A542" s="1469" t="s">
        <v>371</v>
      </c>
      <c r="B542" s="1470"/>
      <c r="C542" s="1396" t="s">
        <v>58</v>
      </c>
      <c r="D542" s="1396" t="s">
        <v>146</v>
      </c>
    </row>
    <row r="543" spans="1:9" ht="13.5" thickBot="1" x14ac:dyDescent="0.25">
      <c r="A543" s="1350"/>
      <c r="B543" s="1351"/>
      <c r="C543" s="1471"/>
      <c r="D543" s="1397"/>
    </row>
    <row r="544" spans="1:9" x14ac:dyDescent="0.2">
      <c r="A544" s="1447" t="s">
        <v>435</v>
      </c>
      <c r="B544" s="1448"/>
      <c r="C544" s="806">
        <v>6408028.0800000001</v>
      </c>
      <c r="D544" s="806">
        <v>9156494.7700000014</v>
      </c>
    </row>
    <row r="545" spans="1:6" x14ac:dyDescent="0.2">
      <c r="A545" s="1370" t="s">
        <v>436</v>
      </c>
      <c r="B545" s="1371"/>
      <c r="C545" s="815"/>
      <c r="D545" s="815"/>
    </row>
    <row r="546" spans="1:6" x14ac:dyDescent="0.2">
      <c r="A546" s="1370" t="s">
        <v>437</v>
      </c>
      <c r="B546" s="1371"/>
      <c r="C546" s="815">
        <v>18045894.73</v>
      </c>
      <c r="D546" s="815">
        <v>20492124.36999996</v>
      </c>
    </row>
    <row r="547" spans="1:6" ht="30" customHeight="1" x14ac:dyDescent="0.2">
      <c r="A547" s="1366" t="s">
        <v>438</v>
      </c>
      <c r="B547" s="1367"/>
      <c r="C547" s="815"/>
      <c r="D547" s="815"/>
    </row>
    <row r="548" spans="1:6" ht="43.9" customHeight="1" x14ac:dyDescent="0.2">
      <c r="A548" s="1366" t="s">
        <v>617</v>
      </c>
      <c r="B548" s="1367"/>
      <c r="C548" s="815">
        <v>154980</v>
      </c>
      <c r="D548" s="815"/>
    </row>
    <row r="549" spans="1:6" ht="27" customHeight="1" x14ac:dyDescent="0.2">
      <c r="A549" s="1366" t="s">
        <v>552</v>
      </c>
      <c r="B549" s="1367"/>
      <c r="C549" s="815">
        <v>22795.51</v>
      </c>
      <c r="D549" s="815">
        <v>22041.579999999991</v>
      </c>
    </row>
    <row r="550" spans="1:6" x14ac:dyDescent="0.2">
      <c r="A550" s="1366" t="s">
        <v>439</v>
      </c>
      <c r="B550" s="1367"/>
      <c r="C550" s="815"/>
      <c r="D550" s="815"/>
      <c r="E550" s="952"/>
    </row>
    <row r="551" spans="1:6" ht="28.9" customHeight="1" x14ac:dyDescent="0.2">
      <c r="A551" s="1366" t="s">
        <v>440</v>
      </c>
      <c r="B551" s="1367"/>
      <c r="C551" s="815">
        <v>235065.13</v>
      </c>
      <c r="D551" s="815">
        <v>192888.68</v>
      </c>
    </row>
    <row r="552" spans="1:6" ht="35.450000000000003" customHeight="1" x14ac:dyDescent="0.2">
      <c r="A552" s="1366" t="s">
        <v>441</v>
      </c>
      <c r="B552" s="1367"/>
      <c r="C552" s="815">
        <v>373040.58</v>
      </c>
      <c r="D552" s="815">
        <v>425235.03000000014</v>
      </c>
    </row>
    <row r="553" spans="1:6" ht="13.5" thickBot="1" x14ac:dyDescent="0.25">
      <c r="A553" s="1364" t="s">
        <v>53</v>
      </c>
      <c r="B553" s="1365"/>
      <c r="C553" s="805">
        <v>4345.74</v>
      </c>
      <c r="D553" s="805"/>
    </row>
    <row r="554" spans="1:6" ht="13.5" thickBot="1" x14ac:dyDescent="0.25">
      <c r="A554" s="1403" t="s">
        <v>336</v>
      </c>
      <c r="B554" s="1405"/>
      <c r="C554" s="965">
        <f>SUM(C544:C553)</f>
        <v>25244149.77</v>
      </c>
      <c r="D554" s="965">
        <f>SUM(D544:D553)</f>
        <v>30288784.429999962</v>
      </c>
      <c r="F554" s="116"/>
    </row>
    <row r="557" spans="1:6" x14ac:dyDescent="0.2">
      <c r="A557" s="1395" t="s">
        <v>595</v>
      </c>
      <c r="B557" s="1395"/>
      <c r="C557" s="1395"/>
    </row>
    <row r="558" spans="1:6" ht="7.9" customHeight="1" thickBot="1" x14ac:dyDescent="0.25">
      <c r="A558" s="987"/>
      <c r="B558" s="987"/>
      <c r="C558" s="987"/>
    </row>
    <row r="559" spans="1:6" ht="26.25" thickBot="1" x14ac:dyDescent="0.25">
      <c r="A559" s="1352" t="s">
        <v>383</v>
      </c>
      <c r="B559" s="1353"/>
      <c r="C559" s="1353"/>
      <c r="D559" s="1354"/>
      <c r="E559" s="76" t="s">
        <v>58</v>
      </c>
      <c r="F559" s="54" t="s">
        <v>146</v>
      </c>
    </row>
    <row r="560" spans="1:6" ht="13.5" thickBot="1" x14ac:dyDescent="0.25">
      <c r="A560" s="1355" t="s">
        <v>618</v>
      </c>
      <c r="B560" s="1356"/>
      <c r="C560" s="1356"/>
      <c r="D560" s="1357"/>
      <c r="E560" s="790">
        <f>E561+E562+E563</f>
        <v>2668563.9499999997</v>
      </c>
      <c r="F560" s="790">
        <f>F561+F562+F563</f>
        <v>-61011.809999906473</v>
      </c>
    </row>
    <row r="561" spans="1:8" x14ac:dyDescent="0.2">
      <c r="A561" s="1384" t="s">
        <v>428</v>
      </c>
      <c r="B561" s="1385"/>
      <c r="C561" s="1385"/>
      <c r="D561" s="1386"/>
      <c r="E561" s="723">
        <v>309473.82</v>
      </c>
      <c r="F561" s="723">
        <v>30000</v>
      </c>
    </row>
    <row r="562" spans="1:8" x14ac:dyDescent="0.2">
      <c r="A562" s="1372" t="s">
        <v>429</v>
      </c>
      <c r="B562" s="1373"/>
      <c r="C562" s="1373"/>
      <c r="D562" s="1374"/>
      <c r="E562" s="724"/>
      <c r="F562" s="724"/>
    </row>
    <row r="563" spans="1:8" ht="13.5" thickBot="1" x14ac:dyDescent="0.25">
      <c r="A563" s="1358" t="s">
        <v>683</v>
      </c>
      <c r="B563" s="1359"/>
      <c r="C563" s="1359"/>
      <c r="D563" s="1360"/>
      <c r="E563" s="724">
        <v>2359090.13</v>
      </c>
      <c r="F563" s="724">
        <v>-91011.809999906473</v>
      </c>
    </row>
    <row r="564" spans="1:8" ht="13.5" thickBot="1" x14ac:dyDescent="0.25">
      <c r="A564" s="1413" t="s">
        <v>553</v>
      </c>
      <c r="B564" s="1414"/>
      <c r="C564" s="1414"/>
      <c r="D564" s="1415"/>
      <c r="E564" s="780">
        <v>0</v>
      </c>
      <c r="F564" s="780">
        <v>0</v>
      </c>
    </row>
    <row r="565" spans="1:8" ht="13.5" thickBot="1" x14ac:dyDescent="0.25">
      <c r="A565" s="1466" t="s">
        <v>554</v>
      </c>
      <c r="B565" s="1467"/>
      <c r="C565" s="1467"/>
      <c r="D565" s="1468"/>
      <c r="E565" s="988">
        <f>SUM(E566:E575)</f>
        <v>3012664.23</v>
      </c>
      <c r="F565" s="988">
        <f>SUM(F566:F575)</f>
        <v>4634606.2200000007</v>
      </c>
    </row>
    <row r="566" spans="1:8" x14ac:dyDescent="0.2">
      <c r="A566" s="1416" t="s">
        <v>712</v>
      </c>
      <c r="B566" s="1417"/>
      <c r="C566" s="1417"/>
      <c r="D566" s="1418"/>
      <c r="E566" s="1072"/>
      <c r="F566" s="1072"/>
    </row>
    <row r="567" spans="1:8" x14ac:dyDescent="0.2">
      <c r="A567" s="1347" t="s">
        <v>713</v>
      </c>
      <c r="B567" s="1348"/>
      <c r="C567" s="1348"/>
      <c r="D567" s="1349"/>
      <c r="E567" s="1073"/>
      <c r="F567" s="1073"/>
    </row>
    <row r="568" spans="1:8" x14ac:dyDescent="0.2">
      <c r="A568" s="1347" t="s">
        <v>430</v>
      </c>
      <c r="B568" s="1348"/>
      <c r="C568" s="1348"/>
      <c r="D568" s="1349"/>
      <c r="E568" s="90">
        <v>147838.6</v>
      </c>
      <c r="F568" s="90">
        <v>1341469.4200000002</v>
      </c>
    </row>
    <row r="569" spans="1:8" x14ac:dyDescent="0.2">
      <c r="A569" s="1347" t="s">
        <v>702</v>
      </c>
      <c r="B569" s="1348"/>
      <c r="C569" s="1348"/>
      <c r="D569" s="1349"/>
      <c r="E569" s="724"/>
      <c r="F569" s="724"/>
    </row>
    <row r="570" spans="1:8" x14ac:dyDescent="0.2">
      <c r="A570" s="1347" t="s">
        <v>431</v>
      </c>
      <c r="B570" s="1348"/>
      <c r="C570" s="1348"/>
      <c r="D570" s="1349"/>
      <c r="E570" s="724"/>
      <c r="F570" s="724"/>
    </row>
    <row r="571" spans="1:8" x14ac:dyDescent="0.2">
      <c r="A571" s="1347" t="s">
        <v>432</v>
      </c>
      <c r="B571" s="1348"/>
      <c r="C571" s="1348"/>
      <c r="D571" s="1349"/>
      <c r="E571" s="1010"/>
      <c r="F571" s="1010">
        <f>1382497.63+105884.02</f>
        <v>1488381.65</v>
      </c>
      <c r="G571" s="116"/>
    </row>
    <row r="572" spans="1:8" x14ac:dyDescent="0.2">
      <c r="A572" s="1347" t="s">
        <v>433</v>
      </c>
      <c r="B572" s="1348"/>
      <c r="C572" s="1348"/>
      <c r="D572" s="1349"/>
      <c r="E572" s="805">
        <v>41841.479999999996</v>
      </c>
      <c r="F572" s="805">
        <v>0</v>
      </c>
    </row>
    <row r="573" spans="1:8" ht="31.15" customHeight="1" x14ac:dyDescent="0.2">
      <c r="A573" s="1372" t="s">
        <v>714</v>
      </c>
      <c r="B573" s="1373"/>
      <c r="C573" s="1373"/>
      <c r="D573" s="1374"/>
      <c r="E573" s="1224"/>
      <c r="F573" s="815"/>
    </row>
    <row r="574" spans="1:8" ht="54.6" customHeight="1" x14ac:dyDescent="0.2">
      <c r="A574" s="1372" t="s">
        <v>434</v>
      </c>
      <c r="B574" s="1373"/>
      <c r="C574" s="1373"/>
      <c r="D574" s="1374"/>
      <c r="E574" s="1010"/>
      <c r="F574" s="1010"/>
    </row>
    <row r="575" spans="1:8" ht="63.6" customHeight="1" thickBot="1" x14ac:dyDescent="0.25">
      <c r="A575" s="1358" t="s">
        <v>719</v>
      </c>
      <c r="B575" s="1359"/>
      <c r="C575" s="1359"/>
      <c r="D575" s="1360"/>
      <c r="E575" s="1010">
        <f>2776312.88+46671.27</f>
        <v>2822984.15</v>
      </c>
      <c r="F575" s="1010">
        <f>1765282.15+39473</f>
        <v>1804755.15</v>
      </c>
    </row>
    <row r="576" spans="1:8" ht="13.5" thickBot="1" x14ac:dyDescent="0.25">
      <c r="A576" s="1403" t="s">
        <v>336</v>
      </c>
      <c r="B576" s="1404"/>
      <c r="C576" s="1404"/>
      <c r="D576" s="1405"/>
      <c r="E576" s="62">
        <f>SUM(E560+E564+E565)</f>
        <v>5681228.1799999997</v>
      </c>
      <c r="F576" s="62">
        <f>SUM(F560+F564+F565)</f>
        <v>4573594.4100000942</v>
      </c>
      <c r="H576" s="80">
        <f>RZiS!K36-'Załącznik 21'!F576</f>
        <v>0</v>
      </c>
    </row>
    <row r="577" spans="1:9" ht="18" customHeight="1" x14ac:dyDescent="0.2"/>
    <row r="578" spans="1:9" ht="18" customHeight="1" x14ac:dyDescent="0.2"/>
    <row r="579" spans="1:9" x14ac:dyDescent="0.2">
      <c r="A579" s="1426" t="s">
        <v>596</v>
      </c>
      <c r="B579" s="1391"/>
      <c r="C579" s="1391"/>
      <c r="D579" s="1391"/>
    </row>
    <row r="580" spans="1:9" ht="17.45" customHeight="1" thickBot="1" x14ac:dyDescent="0.25">
      <c r="A580" s="987"/>
      <c r="B580" s="987"/>
      <c r="C580" s="1"/>
      <c r="D580" s="1"/>
    </row>
    <row r="581" spans="1:9" ht="26.25" thickBot="1" x14ac:dyDescent="0.25">
      <c r="A581" s="1407" t="s">
        <v>115</v>
      </c>
      <c r="B581" s="1408"/>
      <c r="C581" s="1408"/>
      <c r="D581" s="1409"/>
      <c r="E581" s="76" t="s">
        <v>58</v>
      </c>
      <c r="F581" s="54" t="s">
        <v>146</v>
      </c>
    </row>
    <row r="582" spans="1:9" ht="30.75" customHeight="1" thickBot="1" x14ac:dyDescent="0.25">
      <c r="A582" s="1452" t="s">
        <v>555</v>
      </c>
      <c r="B582" s="1453"/>
      <c r="C582" s="1453"/>
      <c r="D582" s="1454"/>
      <c r="E582" s="103"/>
      <c r="F582" s="103"/>
    </row>
    <row r="583" spans="1:9" ht="13.5" thickBot="1" x14ac:dyDescent="0.25">
      <c r="A583" s="1355" t="s">
        <v>556</v>
      </c>
      <c r="B583" s="1356"/>
      <c r="C583" s="1356"/>
      <c r="D583" s="1357"/>
      <c r="E583" s="89">
        <f>SUM(E584+E585+E589)</f>
        <v>1331013.3899999999</v>
      </c>
      <c r="F583" s="89">
        <f>SUM(F584+F585+F589)</f>
        <v>47883132.729999997</v>
      </c>
    </row>
    <row r="584" spans="1:9" x14ac:dyDescent="0.2">
      <c r="A584" s="1449" t="s">
        <v>557</v>
      </c>
      <c r="B584" s="1450"/>
      <c r="C584" s="1450"/>
      <c r="D584" s="1451"/>
      <c r="E584" s="47">
        <v>304425.05</v>
      </c>
      <c r="F584" s="47"/>
    </row>
    <row r="585" spans="1:9" x14ac:dyDescent="0.2">
      <c r="A585" s="1455" t="s">
        <v>137</v>
      </c>
      <c r="B585" s="1456"/>
      <c r="C585" s="1456"/>
      <c r="D585" s="1457"/>
      <c r="E585" s="30">
        <f>SUM(E586:E588)</f>
        <v>611182.31999999995</v>
      </c>
      <c r="F585" s="30">
        <f>SUM(F586:F588)</f>
        <v>0</v>
      </c>
    </row>
    <row r="586" spans="1:9" ht="27.6" customHeight="1" x14ac:dyDescent="0.2">
      <c r="A586" s="1372" t="s">
        <v>715</v>
      </c>
      <c r="B586" s="1373"/>
      <c r="C586" s="1373"/>
      <c r="D586" s="1374"/>
      <c r="E586" s="33">
        <v>8610</v>
      </c>
      <c r="F586" s="33"/>
    </row>
    <row r="587" spans="1:9" x14ac:dyDescent="0.2">
      <c r="A587" s="1372" t="s">
        <v>716</v>
      </c>
      <c r="B587" s="1373"/>
      <c r="C587" s="1373"/>
      <c r="D587" s="1374"/>
      <c r="E587" s="33"/>
      <c r="F587" s="33"/>
    </row>
    <row r="588" spans="1:9" x14ac:dyDescent="0.2">
      <c r="A588" s="1372" t="s">
        <v>717</v>
      </c>
      <c r="B588" s="1373"/>
      <c r="C588" s="1373"/>
      <c r="D588" s="1374"/>
      <c r="E588" s="121">
        <f>602572.32</f>
        <v>602572.31999999995</v>
      </c>
      <c r="F588" s="121"/>
      <c r="G588" s="116"/>
      <c r="H588" s="1129"/>
    </row>
    <row r="589" spans="1:9" x14ac:dyDescent="0.2">
      <c r="A589" s="1463" t="s">
        <v>158</v>
      </c>
      <c r="B589" s="1464"/>
      <c r="C589" s="1464"/>
      <c r="D589" s="1465"/>
      <c r="E589" s="30">
        <f>SUM(E591:E594)</f>
        <v>415406.02</v>
      </c>
      <c r="F589" s="30">
        <f>SUM(F591:F594)</f>
        <v>47883132.729999997</v>
      </c>
    </row>
    <row r="590" spans="1:9" x14ac:dyDescent="0.2">
      <c r="A590" s="1372" t="s">
        <v>619</v>
      </c>
      <c r="B590" s="1373"/>
      <c r="C590" s="1373"/>
      <c r="D590" s="1374"/>
      <c r="E590" s="321"/>
      <c r="F590" s="321"/>
      <c r="G590" s="117"/>
      <c r="H590" s="117"/>
      <c r="I590" s="116"/>
    </row>
    <row r="591" spans="1:9" x14ac:dyDescent="0.2">
      <c r="A591" s="1372" t="s">
        <v>684</v>
      </c>
      <c r="B591" s="1373"/>
      <c r="C591" s="1373"/>
      <c r="D591" s="1374"/>
      <c r="E591" s="49">
        <v>2936</v>
      </c>
      <c r="F591" s="49">
        <v>47636737.759999998</v>
      </c>
    </row>
    <row r="592" spans="1:9" x14ac:dyDescent="0.2">
      <c r="A592" s="1461" t="s">
        <v>442</v>
      </c>
      <c r="B592" s="1462"/>
      <c r="C592" s="1462"/>
      <c r="D592" s="1433"/>
      <c r="E592" s="49">
        <v>205915.09</v>
      </c>
      <c r="F592" s="49">
        <f>59531.82</f>
        <v>59531.82</v>
      </c>
    </row>
    <row r="593" spans="1:10" x14ac:dyDescent="0.2">
      <c r="A593" s="1461" t="s">
        <v>443</v>
      </c>
      <c r="B593" s="1462"/>
      <c r="C593" s="1462"/>
      <c r="D593" s="1433"/>
      <c r="E593" s="49"/>
      <c r="F593" s="49"/>
    </row>
    <row r="594" spans="1:10" ht="55.15" customHeight="1" thickBot="1" x14ac:dyDescent="0.25">
      <c r="A594" s="1358" t="s">
        <v>718</v>
      </c>
      <c r="B594" s="1359"/>
      <c r="C594" s="1359"/>
      <c r="D594" s="1360"/>
      <c r="E594" s="49">
        <v>206554.93</v>
      </c>
      <c r="F594" s="49">
        <f>26255.17+9513.96+151094.02</f>
        <v>186863.15</v>
      </c>
      <c r="G594" s="116"/>
    </row>
    <row r="595" spans="1:10" ht="13.5" thickBot="1" x14ac:dyDescent="0.25">
      <c r="A595" s="1403" t="s">
        <v>558</v>
      </c>
      <c r="B595" s="1404"/>
      <c r="C595" s="1404"/>
      <c r="D595" s="1405"/>
      <c r="E595" s="945">
        <f>SUM(E582+E583)</f>
        <v>1331013.3899999999</v>
      </c>
      <c r="F595" s="945">
        <f>SUM(F582+F583)</f>
        <v>47883132.729999997</v>
      </c>
      <c r="G595" s="116"/>
      <c r="H595" s="80">
        <f>F595-RZiS!K42</f>
        <v>0</v>
      </c>
    </row>
    <row r="598" spans="1:10" x14ac:dyDescent="0.2">
      <c r="A598" s="3" t="s">
        <v>597</v>
      </c>
      <c r="B598" s="1"/>
      <c r="C598" s="1"/>
    </row>
    <row r="599" spans="1:10" ht="13.5" thickBot="1" x14ac:dyDescent="0.25">
      <c r="A599" s="1"/>
      <c r="B599" s="1"/>
      <c r="C599" s="1"/>
    </row>
    <row r="600" spans="1:10" ht="26.25" thickBot="1" x14ac:dyDescent="0.25">
      <c r="A600" s="1407"/>
      <c r="B600" s="1408"/>
      <c r="C600" s="1408"/>
      <c r="D600" s="1409"/>
      <c r="E600" s="76" t="s">
        <v>58</v>
      </c>
      <c r="F600" s="54" t="s">
        <v>146</v>
      </c>
    </row>
    <row r="601" spans="1:10" ht="13.5" thickBot="1" x14ac:dyDescent="0.25">
      <c r="A601" s="1458" t="s">
        <v>559</v>
      </c>
      <c r="B601" s="1459"/>
      <c r="C601" s="1459"/>
      <c r="D601" s="1460"/>
      <c r="E601" s="988"/>
      <c r="F601" s="89"/>
    </row>
    <row r="602" spans="1:10" ht="13.5" thickBot="1" x14ac:dyDescent="0.25">
      <c r="A602" s="1413" t="s">
        <v>560</v>
      </c>
      <c r="B602" s="1414"/>
      <c r="C602" s="1414"/>
      <c r="D602" s="1415"/>
      <c r="E602" s="89">
        <f>SUM(E603:E604)</f>
        <v>2745667.59</v>
      </c>
      <c r="F602" s="89">
        <f>SUM(F603:F604)</f>
        <v>3757764.68</v>
      </c>
    </row>
    <row r="603" spans="1:10" ht="41.1" customHeight="1" x14ac:dyDescent="0.2">
      <c r="A603" s="1384" t="s">
        <v>620</v>
      </c>
      <c r="B603" s="1385"/>
      <c r="C603" s="1385"/>
      <c r="D603" s="1386"/>
      <c r="E603" s="1225">
        <f>3203.77+2673417+69046.82</f>
        <v>2745667.59</v>
      </c>
      <c r="F603" s="1214">
        <f>3703125.87+54638.81</f>
        <v>3757764.68</v>
      </c>
      <c r="G603" s="116"/>
      <c r="I603" s="1130"/>
      <c r="J603" s="1130"/>
    </row>
    <row r="604" spans="1:10" ht="16.149999999999999" customHeight="1" thickBot="1" x14ac:dyDescent="0.25">
      <c r="A604" s="1629" t="s">
        <v>444</v>
      </c>
      <c r="B604" s="1630"/>
      <c r="C604" s="1630"/>
      <c r="D604" s="1631"/>
      <c r="E604" s="101"/>
      <c r="F604" s="101"/>
      <c r="I604" s="1130"/>
      <c r="J604" s="1130"/>
    </row>
    <row r="605" spans="1:10" ht="13.5" thickBot="1" x14ac:dyDescent="0.25">
      <c r="A605" s="1413" t="s">
        <v>561</v>
      </c>
      <c r="B605" s="1414"/>
      <c r="C605" s="1414"/>
      <c r="D605" s="1415"/>
      <c r="E605" s="89">
        <f>SUM(E606:E612)</f>
        <v>0</v>
      </c>
      <c r="F605" s="89">
        <f>SUM(F606:F612)</f>
        <v>0</v>
      </c>
      <c r="I605" s="1130"/>
      <c r="J605" s="1130"/>
    </row>
    <row r="606" spans="1:10" x14ac:dyDescent="0.2">
      <c r="A606" s="1416" t="s">
        <v>132</v>
      </c>
      <c r="B606" s="1417"/>
      <c r="C606" s="1417"/>
      <c r="D606" s="1418"/>
      <c r="E606" s="322"/>
      <c r="F606" s="322"/>
      <c r="I606" s="1130"/>
      <c r="J606" s="1130"/>
    </row>
    <row r="607" spans="1:10" x14ac:dyDescent="0.2">
      <c r="A607" s="1444" t="s">
        <v>14</v>
      </c>
      <c r="B607" s="1445"/>
      <c r="C607" s="1445"/>
      <c r="D607" s="1446"/>
      <c r="E607" s="94"/>
      <c r="F607" s="94"/>
      <c r="I607" s="1130"/>
      <c r="J607" s="1130"/>
    </row>
    <row r="608" spans="1:10" x14ac:dyDescent="0.2">
      <c r="A608" s="1347" t="s">
        <v>466</v>
      </c>
      <c r="B608" s="1348"/>
      <c r="C608" s="1348"/>
      <c r="D608" s="1349"/>
      <c r="E608" s="1225"/>
      <c r="F608" s="806"/>
      <c r="G608" s="116"/>
      <c r="I608" s="1130"/>
      <c r="J608" s="1130"/>
    </row>
    <row r="609" spans="1:10" x14ac:dyDescent="0.2">
      <c r="A609" s="1372" t="s">
        <v>445</v>
      </c>
      <c r="B609" s="1373"/>
      <c r="C609" s="1373"/>
      <c r="D609" s="1374"/>
      <c r="E609" s="91"/>
      <c r="F609" s="91"/>
      <c r="I609" s="1130"/>
      <c r="J609" s="1130"/>
    </row>
    <row r="610" spans="1:10" x14ac:dyDescent="0.2">
      <c r="A610" s="1372" t="s">
        <v>446</v>
      </c>
      <c r="B610" s="1373"/>
      <c r="C610" s="1373"/>
      <c r="D610" s="1374"/>
      <c r="E610" s="101"/>
      <c r="F610" s="101"/>
    </row>
    <row r="611" spans="1:10" x14ac:dyDescent="0.2">
      <c r="A611" s="1372" t="s">
        <v>447</v>
      </c>
      <c r="B611" s="1373"/>
      <c r="C611" s="1373"/>
      <c r="D611" s="1374"/>
      <c r="E611" s="101"/>
      <c r="F611" s="101"/>
    </row>
    <row r="612" spans="1:10" ht="13.5" thickBot="1" x14ac:dyDescent="0.25">
      <c r="A612" s="1410" t="s">
        <v>525</v>
      </c>
      <c r="B612" s="1411"/>
      <c r="C612" s="1411"/>
      <c r="D612" s="1412"/>
      <c r="E612" s="101"/>
      <c r="F612" s="101"/>
      <c r="G612" s="116"/>
    </row>
    <row r="613" spans="1:10" ht="13.5" thickBot="1" x14ac:dyDescent="0.25">
      <c r="A613" s="1403" t="s">
        <v>336</v>
      </c>
      <c r="B613" s="1404"/>
      <c r="C613" s="1404"/>
      <c r="D613" s="1405"/>
      <c r="E613" s="62">
        <f>E601+E602+E605</f>
        <v>2745667.59</v>
      </c>
      <c r="F613" s="62">
        <f>F601+F602+F605</f>
        <v>3757764.68</v>
      </c>
      <c r="H613" s="80">
        <f>RZiS!K44-'Załącznik 21'!F613</f>
        <v>0</v>
      </c>
    </row>
    <row r="616" spans="1:10" x14ac:dyDescent="0.2">
      <c r="A616" s="1395" t="s">
        <v>598</v>
      </c>
      <c r="B616" s="1395"/>
      <c r="C616" s="1395"/>
    </row>
    <row r="617" spans="1:10" ht="13.5" thickBot="1" x14ac:dyDescent="0.25">
      <c r="A617" s="902"/>
      <c r="B617" s="902"/>
      <c r="C617" s="902"/>
    </row>
    <row r="618" spans="1:10" ht="26.25" thickBot="1" x14ac:dyDescent="0.25">
      <c r="A618" s="1407"/>
      <c r="B618" s="1408"/>
      <c r="C618" s="1408"/>
      <c r="D618" s="1409"/>
      <c r="E618" s="76" t="s">
        <v>58</v>
      </c>
      <c r="F618" s="54" t="s">
        <v>146</v>
      </c>
      <c r="H618" s="1130"/>
      <c r="I618" s="1130"/>
      <c r="J618" s="1130"/>
    </row>
    <row r="619" spans="1:10" ht="13.5" thickBot="1" x14ac:dyDescent="0.25">
      <c r="A619" s="1355" t="s">
        <v>560</v>
      </c>
      <c r="B619" s="1356"/>
      <c r="C619" s="1356"/>
      <c r="D619" s="1357"/>
      <c r="E619" s="89">
        <f>E620+E621</f>
        <v>0</v>
      </c>
      <c r="F619" s="89">
        <f>F620+F621</f>
        <v>0</v>
      </c>
      <c r="H619" s="1130"/>
      <c r="I619" s="1130"/>
      <c r="J619" s="1130"/>
    </row>
    <row r="620" spans="1:10" x14ac:dyDescent="0.2">
      <c r="A620" s="1416" t="s">
        <v>448</v>
      </c>
      <c r="B620" s="1417"/>
      <c r="C620" s="1417"/>
      <c r="D620" s="1418"/>
      <c r="E620" s="104"/>
      <c r="F620" s="104"/>
      <c r="H620" s="1130"/>
      <c r="I620" s="1130"/>
      <c r="J620" s="1130"/>
    </row>
    <row r="621" spans="1:10" ht="13.5" thickBot="1" x14ac:dyDescent="0.25">
      <c r="A621" s="1444" t="s">
        <v>670</v>
      </c>
      <c r="B621" s="1445"/>
      <c r="C621" s="1445"/>
      <c r="D621" s="1446"/>
      <c r="E621" s="93"/>
      <c r="F621" s="93"/>
      <c r="H621" s="1130"/>
      <c r="I621" s="1130"/>
      <c r="J621" s="1130"/>
    </row>
    <row r="622" spans="1:10" ht="13.5" thickBot="1" x14ac:dyDescent="0.25">
      <c r="A622" s="1355" t="s">
        <v>562</v>
      </c>
      <c r="B622" s="1356"/>
      <c r="C622" s="1356"/>
      <c r="D622" s="1357"/>
      <c r="E622" s="89">
        <f>SUM(E623:E628)</f>
        <v>1892651.0600000003</v>
      </c>
      <c r="F622" s="89">
        <f>SUM(F623:F628)</f>
        <v>1430975.56</v>
      </c>
      <c r="H622" s="1130"/>
      <c r="I622" s="1130"/>
      <c r="J622" s="1130"/>
    </row>
    <row r="623" spans="1:10" x14ac:dyDescent="0.2">
      <c r="A623" s="1347" t="s">
        <v>15</v>
      </c>
      <c r="B623" s="1348"/>
      <c r="C623" s="1348"/>
      <c r="D623" s="1349"/>
      <c r="E623" s="49"/>
      <c r="F623" s="49"/>
      <c r="H623" s="1130"/>
      <c r="I623" s="1130"/>
      <c r="J623" s="1130"/>
    </row>
    <row r="624" spans="1:10" x14ac:dyDescent="0.2">
      <c r="A624" s="1372" t="s">
        <v>449</v>
      </c>
      <c r="B624" s="1373"/>
      <c r="C624" s="1373"/>
      <c r="D624" s="1374"/>
      <c r="E624" s="49"/>
      <c r="F624" s="49"/>
      <c r="H624" s="1130"/>
      <c r="I624" s="1130"/>
      <c r="J624" s="1130"/>
    </row>
    <row r="625" spans="1:10" x14ac:dyDescent="0.2">
      <c r="A625" s="1372" t="s">
        <v>450</v>
      </c>
      <c r="B625" s="1373"/>
      <c r="C625" s="1373"/>
      <c r="D625" s="1374"/>
      <c r="E625" s="801">
        <v>1836525.0900000003</v>
      </c>
      <c r="F625" s="801">
        <f>1317724.47+52543.25</f>
        <v>1370267.72</v>
      </c>
      <c r="G625" s="116"/>
      <c r="H625" s="1130"/>
      <c r="I625" s="1130"/>
      <c r="J625" s="1130"/>
    </row>
    <row r="626" spans="1:10" x14ac:dyDescent="0.2">
      <c r="A626" s="1372" t="s">
        <v>462</v>
      </c>
      <c r="B626" s="1373"/>
      <c r="C626" s="1373"/>
      <c r="D626" s="1374"/>
      <c r="E626" s="791"/>
      <c r="F626" s="791"/>
      <c r="G626" s="116"/>
      <c r="H626" s="1130"/>
      <c r="I626" s="1130"/>
      <c r="J626" s="1130"/>
    </row>
    <row r="627" spans="1:10" x14ac:dyDescent="0.2">
      <c r="A627" s="1372" t="s">
        <v>463</v>
      </c>
      <c r="B627" s="1373"/>
      <c r="C627" s="1373"/>
      <c r="D627" s="1374"/>
      <c r="E627" s="791"/>
      <c r="F627" s="791"/>
      <c r="G627" s="116"/>
      <c r="H627" s="1130"/>
      <c r="I627" s="1130"/>
      <c r="J627" s="1130"/>
    </row>
    <row r="628" spans="1:10" ht="13.5" thickBot="1" x14ac:dyDescent="0.25">
      <c r="A628" s="1410" t="s">
        <v>525</v>
      </c>
      <c r="B628" s="1411"/>
      <c r="C628" s="1411"/>
      <c r="D628" s="1412"/>
      <c r="E628" s="801">
        <v>56125.97</v>
      </c>
      <c r="F628" s="801">
        <v>60707.839999999997</v>
      </c>
      <c r="G628" s="116"/>
    </row>
    <row r="629" spans="1:10" ht="13.5" thickBot="1" x14ac:dyDescent="0.25">
      <c r="A629" s="1403" t="s">
        <v>336</v>
      </c>
      <c r="B629" s="1404"/>
      <c r="C629" s="1404"/>
      <c r="D629" s="1405"/>
      <c r="E629" s="62">
        <f>SUM(E619+E622)</f>
        <v>1892651.0600000003</v>
      </c>
      <c r="F629" s="62">
        <f>SUM(F619+F622)</f>
        <v>1430975.56</v>
      </c>
      <c r="H629" s="80">
        <f>RZiS!K48-'Załącznik 21'!F629</f>
        <v>0</v>
      </c>
    </row>
    <row r="636" spans="1:10" x14ac:dyDescent="0.2">
      <c r="A636" s="1406" t="s">
        <v>599</v>
      </c>
      <c r="B636" s="1406"/>
      <c r="C636" s="1406"/>
      <c r="D636" s="1406"/>
      <c r="E636" s="1406"/>
      <c r="F636" s="1406"/>
    </row>
    <row r="637" spans="1:10" ht="13.5" thickBot="1" x14ac:dyDescent="0.25">
      <c r="A637" s="6"/>
    </row>
    <row r="638" spans="1:10" ht="13.5" thickBot="1" x14ac:dyDescent="0.25">
      <c r="A638" s="1419" t="s">
        <v>205</v>
      </c>
      <c r="B638" s="1420"/>
      <c r="C638" s="1400" t="s">
        <v>529</v>
      </c>
      <c r="D638" s="1401"/>
      <c r="E638" s="1401"/>
      <c r="F638" s="1402"/>
    </row>
    <row r="639" spans="1:10" ht="13.5" thickBot="1" x14ac:dyDescent="0.25">
      <c r="A639" s="1421"/>
      <c r="B639" s="1422"/>
      <c r="C639" s="995" t="s">
        <v>196</v>
      </c>
      <c r="D639" s="996" t="s">
        <v>197</v>
      </c>
      <c r="E639" s="997" t="s">
        <v>198</v>
      </c>
      <c r="F639" s="105" t="s">
        <v>199</v>
      </c>
      <c r="I639" s="78"/>
    </row>
    <row r="640" spans="1:10" x14ac:dyDescent="0.2">
      <c r="A640" s="1428" t="s">
        <v>22</v>
      </c>
      <c r="B640" s="1429"/>
      <c r="C640" s="792">
        <f>SUM(C641:C643)</f>
        <v>0</v>
      </c>
      <c r="D640" s="793">
        <f>SUM(D641:D643)</f>
        <v>139704.24</v>
      </c>
      <c r="E640" s="794">
        <f>SUM(E641:E643)</f>
        <v>267612.02000000008</v>
      </c>
      <c r="F640" s="726">
        <f>SUM(F641:F643)</f>
        <v>0</v>
      </c>
    </row>
    <row r="641" spans="1:8" x14ac:dyDescent="0.2">
      <c r="A641" s="1430" t="s">
        <v>948</v>
      </c>
      <c r="B641" s="1431"/>
      <c r="C641" s="817">
        <v>0</v>
      </c>
      <c r="D641" s="795">
        <f>133846.27+0.46</f>
        <v>133846.72999999998</v>
      </c>
      <c r="E641" s="806">
        <v>86669.63</v>
      </c>
      <c r="F641" s="725">
        <f>SUM(F642:F644)</f>
        <v>0</v>
      </c>
      <c r="H641" s="117"/>
    </row>
    <row r="642" spans="1:8" x14ac:dyDescent="0.2">
      <c r="A642" s="1432" t="s">
        <v>949</v>
      </c>
      <c r="B642" s="1433"/>
      <c r="C642" s="799"/>
      <c r="D642" s="121">
        <f>4425.01+1432.5</f>
        <v>5857.51</v>
      </c>
      <c r="E642" s="814">
        <v>167708.39000000007</v>
      </c>
      <c r="F642" s="49"/>
      <c r="G642" s="116"/>
    </row>
    <row r="643" spans="1:8" x14ac:dyDescent="0.2">
      <c r="A643" s="1432" t="s">
        <v>950</v>
      </c>
      <c r="B643" s="1433"/>
      <c r="C643" s="813"/>
      <c r="D643" s="121"/>
      <c r="E643" s="814">
        <v>13234</v>
      </c>
      <c r="F643" s="49"/>
    </row>
    <row r="644" spans="1:8" x14ac:dyDescent="0.2">
      <c r="A644" s="1434" t="s">
        <v>59</v>
      </c>
      <c r="B644" s="1435"/>
      <c r="C644" s="813"/>
      <c r="D644" s="121"/>
      <c r="E644" s="814"/>
      <c r="F644" s="49"/>
    </row>
    <row r="645" spans="1:8" ht="13.5" thickBot="1" x14ac:dyDescent="0.25">
      <c r="A645" s="1436" t="s">
        <v>33</v>
      </c>
      <c r="B645" s="1437"/>
      <c r="C645" s="796">
        <f>371.87+116460</f>
        <v>116831.87</v>
      </c>
      <c r="D645" s="797"/>
      <c r="E645" s="798">
        <f>2799+985.43</f>
        <v>3784.43</v>
      </c>
      <c r="F645" s="106"/>
    </row>
    <row r="646" spans="1:8" ht="13.5" thickBot="1" x14ac:dyDescent="0.25">
      <c r="A646" s="1438" t="s">
        <v>49</v>
      </c>
      <c r="B646" s="1439"/>
      <c r="C646" s="945">
        <f>C640+C644+C645</f>
        <v>116831.87</v>
      </c>
      <c r="D646" s="945">
        <f>D640+D644+D645</f>
        <v>139704.24</v>
      </c>
      <c r="E646" s="945">
        <f>E640+E644+E645</f>
        <v>271396.45000000007</v>
      </c>
      <c r="F646" s="62">
        <f>F640+F644+F645</f>
        <v>0</v>
      </c>
    </row>
    <row r="649" spans="1:8" ht="30" customHeight="1" x14ac:dyDescent="0.2">
      <c r="A649" s="1398" t="s">
        <v>610</v>
      </c>
      <c r="B649" s="1398"/>
      <c r="C649" s="1398"/>
      <c r="D649" s="1398"/>
      <c r="E649" s="1399"/>
      <c r="F649" s="1399"/>
    </row>
    <row r="651" spans="1:8" x14ac:dyDescent="0.2">
      <c r="A651" s="1406" t="s">
        <v>1033</v>
      </c>
      <c r="B651" s="1406"/>
      <c r="C651" s="1406"/>
      <c r="D651" s="1406"/>
    </row>
    <row r="652" spans="1:8" ht="13.5" thickBot="1" x14ac:dyDescent="0.25"/>
    <row r="653" spans="1:8" ht="51.75" thickBot="1" x14ac:dyDescent="0.25">
      <c r="A653" s="1440" t="s">
        <v>156</v>
      </c>
      <c r="B653" s="1441"/>
      <c r="C653" s="60" t="s">
        <v>89</v>
      </c>
      <c r="D653" s="60" t="s">
        <v>703</v>
      </c>
    </row>
    <row r="654" spans="1:8" ht="13.5" thickBot="1" x14ac:dyDescent="0.25">
      <c r="A654" s="1442" t="s">
        <v>157</v>
      </c>
      <c r="B654" s="1443"/>
      <c r="C654" s="998">
        <v>303</v>
      </c>
      <c r="D654" s="998">
        <v>289</v>
      </c>
    </row>
    <row r="657" spans="1:5" x14ac:dyDescent="0.2">
      <c r="A657" s="980" t="s">
        <v>565</v>
      </c>
      <c r="B657" s="6"/>
      <c r="C657" s="6"/>
      <c r="D657" s="6"/>
      <c r="E657" s="6"/>
    </row>
    <row r="658" spans="1:5" ht="13.5" thickBot="1" x14ac:dyDescent="0.25">
      <c r="B658" s="960"/>
      <c r="C658" s="960"/>
    </row>
    <row r="659" spans="1:5" ht="51.75" thickBot="1" x14ac:dyDescent="0.25">
      <c r="A659" s="995" t="s">
        <v>44</v>
      </c>
      <c r="B659" s="996" t="s">
        <v>45</v>
      </c>
      <c r="C659" s="996" t="s">
        <v>139</v>
      </c>
      <c r="D659" s="876" t="s">
        <v>46</v>
      </c>
      <c r="E659" s="59" t="s">
        <v>47</v>
      </c>
    </row>
    <row r="660" spans="1:5" x14ac:dyDescent="0.2">
      <c r="A660" s="999" t="s">
        <v>200</v>
      </c>
      <c r="B660" s="964"/>
      <c r="C660" s="964"/>
      <c r="D660" s="1000"/>
      <c r="E660" s="964"/>
    </row>
    <row r="661" spans="1:5" x14ac:dyDescent="0.2">
      <c r="A661" s="1001" t="s">
        <v>201</v>
      </c>
      <c r="B661" s="887"/>
      <c r="C661" s="887"/>
      <c r="D661" s="886"/>
      <c r="E661" s="887"/>
    </row>
    <row r="662" spans="1:5" x14ac:dyDescent="0.2">
      <c r="A662" s="1001" t="s">
        <v>202</v>
      </c>
      <c r="B662" s="887"/>
      <c r="C662" s="887"/>
      <c r="D662" s="886"/>
      <c r="E662" s="887"/>
    </row>
    <row r="663" spans="1:5" x14ac:dyDescent="0.2">
      <c r="A663" s="1001" t="s">
        <v>203</v>
      </c>
      <c r="B663" s="887"/>
      <c r="C663" s="887"/>
      <c r="D663" s="886"/>
      <c r="E663" s="887"/>
    </row>
    <row r="664" spans="1:5" x14ac:dyDescent="0.2">
      <c r="A664" s="1001" t="s">
        <v>206</v>
      </c>
      <c r="B664" s="887"/>
      <c r="C664" s="887"/>
      <c r="D664" s="886"/>
      <c r="E664" s="887"/>
    </row>
    <row r="665" spans="1:5" x14ac:dyDescent="0.2">
      <c r="A665" s="1001" t="s">
        <v>223</v>
      </c>
      <c r="B665" s="887"/>
      <c r="C665" s="887"/>
      <c r="D665" s="886"/>
      <c r="E665" s="887"/>
    </row>
    <row r="666" spans="1:5" x14ac:dyDescent="0.2">
      <c r="A666" s="1001" t="s">
        <v>224</v>
      </c>
      <c r="B666" s="887"/>
      <c r="C666" s="887"/>
      <c r="D666" s="886"/>
      <c r="E666" s="887"/>
    </row>
    <row r="667" spans="1:5" ht="13.5" thickBot="1" x14ac:dyDescent="0.25">
      <c r="A667" s="1002" t="s">
        <v>159</v>
      </c>
      <c r="B667" s="1003"/>
      <c r="C667" s="1003"/>
      <c r="D667" s="1004"/>
      <c r="E667" s="1003"/>
    </row>
    <row r="670" spans="1:5" x14ac:dyDescent="0.2">
      <c r="A670" s="980" t="s">
        <v>566</v>
      </c>
      <c r="B670" s="107"/>
      <c r="C670" s="107"/>
      <c r="D670" s="107"/>
      <c r="E670" s="107"/>
    </row>
    <row r="671" spans="1:5" ht="13.5" thickBot="1" x14ac:dyDescent="0.25">
      <c r="B671" s="960"/>
      <c r="C671" s="960"/>
    </row>
    <row r="672" spans="1:5" ht="51.75" thickBot="1" x14ac:dyDescent="0.25">
      <c r="A672" s="995" t="s">
        <v>44</v>
      </c>
      <c r="B672" s="996" t="s">
        <v>45</v>
      </c>
      <c r="C672" s="996" t="s">
        <v>139</v>
      </c>
      <c r="D672" s="876" t="s">
        <v>140</v>
      </c>
      <c r="E672" s="59" t="s">
        <v>47</v>
      </c>
    </row>
    <row r="673" spans="1:6" x14ac:dyDescent="0.2">
      <c r="A673" s="999" t="s">
        <v>200</v>
      </c>
      <c r="B673" s="964"/>
      <c r="C673" s="964"/>
      <c r="D673" s="1000"/>
      <c r="E673" s="964"/>
    </row>
    <row r="674" spans="1:6" x14ac:dyDescent="0.2">
      <c r="A674" s="1001" t="s">
        <v>201</v>
      </c>
      <c r="B674" s="887"/>
      <c r="C674" s="887"/>
      <c r="D674" s="886"/>
      <c r="E674" s="887"/>
    </row>
    <row r="675" spans="1:6" x14ac:dyDescent="0.2">
      <c r="A675" s="1001" t="s">
        <v>202</v>
      </c>
      <c r="B675" s="887"/>
      <c r="C675" s="887"/>
      <c r="D675" s="886"/>
      <c r="E675" s="887"/>
    </row>
    <row r="676" spans="1:6" x14ac:dyDescent="0.2">
      <c r="A676" s="1001" t="s">
        <v>203</v>
      </c>
      <c r="B676" s="887"/>
      <c r="C676" s="887"/>
      <c r="D676" s="886"/>
      <c r="E676" s="887"/>
    </row>
    <row r="677" spans="1:6" x14ac:dyDescent="0.2">
      <c r="A677" s="1001" t="s">
        <v>206</v>
      </c>
      <c r="B677" s="887"/>
      <c r="C677" s="887"/>
      <c r="D677" s="886"/>
      <c r="E677" s="887"/>
    </row>
    <row r="678" spans="1:6" x14ac:dyDescent="0.2">
      <c r="A678" s="1001" t="s">
        <v>223</v>
      </c>
      <c r="B678" s="887"/>
      <c r="C678" s="887"/>
      <c r="D678" s="886"/>
      <c r="E678" s="887"/>
    </row>
    <row r="679" spans="1:6" x14ac:dyDescent="0.2">
      <c r="A679" s="1001" t="s">
        <v>224</v>
      </c>
      <c r="B679" s="887"/>
      <c r="C679" s="887"/>
      <c r="D679" s="886"/>
      <c r="E679" s="887"/>
    </row>
    <row r="680" spans="1:6" ht="13.5" thickBot="1" x14ac:dyDescent="0.25">
      <c r="A680" s="1002" t="s">
        <v>159</v>
      </c>
      <c r="B680" s="1003"/>
      <c r="C680" s="1003"/>
      <c r="D680" s="1004"/>
      <c r="E680" s="1003"/>
    </row>
    <row r="688" spans="1:6" x14ac:dyDescent="0.2">
      <c r="A688" s="1005"/>
      <c r="B688" s="1005"/>
      <c r="C688" s="1427"/>
      <c r="D688" s="1390"/>
      <c r="E688" s="1005"/>
      <c r="F688" s="115"/>
    </row>
    <row r="689" spans="1:7" x14ac:dyDescent="0.2">
      <c r="A689" s="1006" t="s">
        <v>571</v>
      </c>
      <c r="B689" s="1006"/>
      <c r="C689" s="1427" t="s">
        <v>43</v>
      </c>
      <c r="D689" s="1390"/>
      <c r="E689" s="1006"/>
      <c r="F689" s="1392" t="s">
        <v>568</v>
      </c>
      <c r="G689" s="1392"/>
    </row>
    <row r="690" spans="1:7" x14ac:dyDescent="0.2">
      <c r="A690" s="1006" t="s">
        <v>569</v>
      </c>
      <c r="B690" s="1"/>
      <c r="C690" s="1390" t="s">
        <v>567</v>
      </c>
      <c r="D690" s="1391"/>
      <c r="E690" s="1006"/>
      <c r="F690" s="1392" t="s">
        <v>570</v>
      </c>
      <c r="G690" s="1392"/>
    </row>
  </sheetData>
  <mergeCells count="402">
    <mergeCell ref="A224:B224"/>
    <mergeCell ref="A229:B229"/>
    <mergeCell ref="A230:B230"/>
    <mergeCell ref="A228:B228"/>
    <mergeCell ref="A204:B204"/>
    <mergeCell ref="B179:D179"/>
    <mergeCell ref="B176:D176"/>
    <mergeCell ref="A180:D180"/>
    <mergeCell ref="A192:B192"/>
    <mergeCell ref="A193:B193"/>
    <mergeCell ref="A194:B194"/>
    <mergeCell ref="A197:B197"/>
    <mergeCell ref="A198:B198"/>
    <mergeCell ref="A187:B187"/>
    <mergeCell ref="B177:D177"/>
    <mergeCell ref="B178:D178"/>
    <mergeCell ref="A190:B190"/>
    <mergeCell ref="A201:B201"/>
    <mergeCell ref="A202:B202"/>
    <mergeCell ref="A203:B203"/>
    <mergeCell ref="A225:B225"/>
    <mergeCell ref="A208:B208"/>
    <mergeCell ref="A211:B211"/>
    <mergeCell ref="A210:B210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90:I390"/>
    <mergeCell ref="A502:D502"/>
    <mergeCell ref="A503:D503"/>
    <mergeCell ref="A443:B443"/>
    <mergeCell ref="A310:B310"/>
    <mergeCell ref="A311:B311"/>
    <mergeCell ref="A349:B349"/>
    <mergeCell ref="A236:B236"/>
    <mergeCell ref="A300:B300"/>
    <mergeCell ref="B262:E262"/>
    <mergeCell ref="B254:E254"/>
    <mergeCell ref="A332:B332"/>
    <mergeCell ref="A317:B317"/>
    <mergeCell ref="A244:B244"/>
    <mergeCell ref="A275:B275"/>
    <mergeCell ref="A284:B284"/>
    <mergeCell ref="A242:B242"/>
    <mergeCell ref="A277:B277"/>
    <mergeCell ref="A278:B278"/>
    <mergeCell ref="A301:B301"/>
    <mergeCell ref="A330:B330"/>
    <mergeCell ref="A331:B331"/>
    <mergeCell ref="A308:B308"/>
    <mergeCell ref="A285:B285"/>
    <mergeCell ref="A273:E273"/>
    <mergeCell ref="A415:C415"/>
    <mergeCell ref="A445:B445"/>
    <mergeCell ref="A446:B446"/>
    <mergeCell ref="A447:B447"/>
    <mergeCell ref="A448:B448"/>
    <mergeCell ref="A420:B420"/>
    <mergeCell ref="A426:B426"/>
    <mergeCell ref="A616:C616"/>
    <mergeCell ref="A604:D604"/>
    <mergeCell ref="A606:D606"/>
    <mergeCell ref="A428:B428"/>
    <mergeCell ref="A429:B429"/>
    <mergeCell ref="A424:B424"/>
    <mergeCell ref="A430:B430"/>
    <mergeCell ref="A552:B552"/>
    <mergeCell ref="A603:D603"/>
    <mergeCell ref="A609:D609"/>
    <mergeCell ref="A610:D610"/>
    <mergeCell ref="A590:D590"/>
    <mergeCell ref="A551:B551"/>
    <mergeCell ref="A595:D595"/>
    <mergeCell ref="A600:D600"/>
    <mergeCell ref="A554:B554"/>
    <mergeCell ref="A557:C557"/>
    <mergeCell ref="A497:D497"/>
    <mergeCell ref="A501:D501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444:B444"/>
    <mergeCell ref="A480:B480"/>
    <mergeCell ref="C480:D480"/>
    <mergeCell ref="A481:B481"/>
    <mergeCell ref="C481:D481"/>
    <mergeCell ref="A425:B425"/>
    <mergeCell ref="A479:E479"/>
    <mergeCell ref="A421:B421"/>
    <mergeCell ref="A364:B364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234:B234"/>
    <mergeCell ref="A250:E250"/>
    <mergeCell ref="A243:B243"/>
    <mergeCell ref="A235:B235"/>
    <mergeCell ref="A281:B281"/>
    <mergeCell ref="A282:B282"/>
    <mergeCell ref="A280:B280"/>
    <mergeCell ref="A358:B358"/>
    <mergeCell ref="A359:B359"/>
    <mergeCell ref="A339:B339"/>
    <mergeCell ref="A342:B342"/>
    <mergeCell ref="A335:B335"/>
    <mergeCell ref="A341:B341"/>
    <mergeCell ref="A338:B338"/>
    <mergeCell ref="A340:B340"/>
    <mergeCell ref="A336:B336"/>
    <mergeCell ref="A337:B337"/>
    <mergeCell ref="A288:B288"/>
    <mergeCell ref="A289:B289"/>
    <mergeCell ref="A290:B290"/>
    <mergeCell ref="A291:B291"/>
    <mergeCell ref="A292:B292"/>
    <mergeCell ref="A293:B293"/>
    <mergeCell ref="A294:B294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223:B223"/>
    <mergeCell ref="A214:B214"/>
    <mergeCell ref="A215:B215"/>
    <mergeCell ref="A216:B216"/>
    <mergeCell ref="A213:B213"/>
    <mergeCell ref="A299:B299"/>
    <mergeCell ref="A309:B309"/>
    <mergeCell ref="A286:D286"/>
    <mergeCell ref="A283:B283"/>
    <mergeCell ref="A218:B218"/>
    <mergeCell ref="A227:B227"/>
    <mergeCell ref="D252:E252"/>
    <mergeCell ref="B252:C252"/>
    <mergeCell ref="A276:B276"/>
    <mergeCell ref="A279:B279"/>
    <mergeCell ref="A221:E221"/>
    <mergeCell ref="A297:B297"/>
    <mergeCell ref="A298:B298"/>
    <mergeCell ref="A296:B296"/>
    <mergeCell ref="A231:B231"/>
    <mergeCell ref="A239:D239"/>
    <mergeCell ref="A232:B232"/>
    <mergeCell ref="A241:B241"/>
    <mergeCell ref="A233:B233"/>
    <mergeCell ref="A295:B295"/>
    <mergeCell ref="A316:B316"/>
    <mergeCell ref="A314:B314"/>
    <mergeCell ref="B175:D175"/>
    <mergeCell ref="A68:B68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A173:D174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63:B163"/>
    <mergeCell ref="A135:B135"/>
    <mergeCell ref="D4:E4"/>
    <mergeCell ref="A6:I6"/>
    <mergeCell ref="C40:C42"/>
    <mergeCell ref="A43:C43"/>
    <mergeCell ref="A40:B42"/>
    <mergeCell ref="B7:G7"/>
    <mergeCell ref="A8:A9"/>
    <mergeCell ref="B8:B9"/>
    <mergeCell ref="C8:C9"/>
    <mergeCell ref="D8:D9"/>
    <mergeCell ref="E8:E9"/>
    <mergeCell ref="F8:F9"/>
    <mergeCell ref="G8:G9"/>
    <mergeCell ref="A5:I5"/>
    <mergeCell ref="H8:H9"/>
    <mergeCell ref="I8:I9"/>
    <mergeCell ref="A10:I10"/>
    <mergeCell ref="A20:I20"/>
    <mergeCell ref="A30:I30"/>
    <mergeCell ref="A35:I35"/>
    <mergeCell ref="A153:I153"/>
    <mergeCell ref="A155:B155"/>
    <mergeCell ref="A162:B162"/>
    <mergeCell ref="A156:B156"/>
    <mergeCell ref="A120:C120"/>
    <mergeCell ref="A62:B62"/>
    <mergeCell ref="A133:B133"/>
    <mergeCell ref="A111:A112"/>
    <mergeCell ref="A134:B134"/>
    <mergeCell ref="A132:B132"/>
    <mergeCell ref="A127:C127"/>
    <mergeCell ref="A94:E94"/>
    <mergeCell ref="A101:D101"/>
    <mergeCell ref="A130:B130"/>
    <mergeCell ref="A129:B129"/>
    <mergeCell ref="A185:G185"/>
    <mergeCell ref="A195:B195"/>
    <mergeCell ref="A188:B188"/>
    <mergeCell ref="A226:B226"/>
    <mergeCell ref="A324:C324"/>
    <mergeCell ref="A509:D509"/>
    <mergeCell ref="A510:D510"/>
    <mergeCell ref="A511:D511"/>
    <mergeCell ref="A508:D508"/>
    <mergeCell ref="A422:B422"/>
    <mergeCell ref="A199:B199"/>
    <mergeCell ref="C437:D437"/>
    <mergeCell ref="A504:D504"/>
    <mergeCell ref="A505:D505"/>
    <mergeCell ref="A506:D506"/>
    <mergeCell ref="A498:D498"/>
    <mergeCell ref="A499:D499"/>
    <mergeCell ref="A500:D500"/>
    <mergeCell ref="A494:D494"/>
    <mergeCell ref="A495:D495"/>
    <mergeCell ref="A496:D496"/>
    <mergeCell ref="A423:B423"/>
    <mergeCell ref="A209:B209"/>
    <mergeCell ref="A312:B312"/>
    <mergeCell ref="A507:D507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191:B191"/>
    <mergeCell ref="A313:B313"/>
    <mergeCell ref="A318:B318"/>
    <mergeCell ref="A205:B205"/>
    <mergeCell ref="A217:B217"/>
    <mergeCell ref="A212:B212"/>
    <mergeCell ref="A321:C321"/>
    <mergeCell ref="A516:D516"/>
    <mergeCell ref="A517:D517"/>
    <mergeCell ref="A518:D518"/>
    <mergeCell ref="A519:D519"/>
    <mergeCell ref="A520:D520"/>
    <mergeCell ref="A521:D521"/>
    <mergeCell ref="A522:D522"/>
    <mergeCell ref="A523:D523"/>
    <mergeCell ref="A512:D512"/>
    <mergeCell ref="A513:D513"/>
    <mergeCell ref="A514:D514"/>
    <mergeCell ref="A573:D573"/>
    <mergeCell ref="A588:D588"/>
    <mergeCell ref="A525:D525"/>
    <mergeCell ref="A526:D526"/>
    <mergeCell ref="A531:D531"/>
    <mergeCell ref="A527:D527"/>
    <mergeCell ref="A579:D579"/>
    <mergeCell ref="A566:D566"/>
    <mergeCell ref="A565:D565"/>
    <mergeCell ref="A583:D583"/>
    <mergeCell ref="A569:D569"/>
    <mergeCell ref="A528:D528"/>
    <mergeCell ref="A529:D529"/>
    <mergeCell ref="A542:B542"/>
    <mergeCell ref="C542:C543"/>
    <mergeCell ref="A534:D534"/>
    <mergeCell ref="A574:D574"/>
    <mergeCell ref="A575:D575"/>
    <mergeCell ref="A567:D567"/>
    <mergeCell ref="A571:D571"/>
    <mergeCell ref="A586:D586"/>
    <mergeCell ref="A618:D618"/>
    <mergeCell ref="A621:D621"/>
    <mergeCell ref="A622:D622"/>
    <mergeCell ref="A602:D602"/>
    <mergeCell ref="A544:B544"/>
    <mergeCell ref="A545:B545"/>
    <mergeCell ref="A608:D608"/>
    <mergeCell ref="A605:D605"/>
    <mergeCell ref="A611:D611"/>
    <mergeCell ref="A612:D612"/>
    <mergeCell ref="A613:D613"/>
    <mergeCell ref="A584:D584"/>
    <mergeCell ref="A582:D582"/>
    <mergeCell ref="A587:D587"/>
    <mergeCell ref="A585:D585"/>
    <mergeCell ref="A601:D601"/>
    <mergeCell ref="A593:D593"/>
    <mergeCell ref="A594:D594"/>
    <mergeCell ref="A570:D570"/>
    <mergeCell ref="A589:D589"/>
    <mergeCell ref="A576:D576"/>
    <mergeCell ref="A591:D591"/>
    <mergeCell ref="A607:D607"/>
    <mergeCell ref="A592:D592"/>
    <mergeCell ref="C689:D689"/>
    <mergeCell ref="A640:B640"/>
    <mergeCell ref="A641:B641"/>
    <mergeCell ref="A642:B642"/>
    <mergeCell ref="A643:B643"/>
    <mergeCell ref="A644:B644"/>
    <mergeCell ref="A645:B645"/>
    <mergeCell ref="A646:B646"/>
    <mergeCell ref="C688:D688"/>
    <mergeCell ref="A653:B653"/>
    <mergeCell ref="A651:D651"/>
    <mergeCell ref="A654:B654"/>
    <mergeCell ref="C690:D690"/>
    <mergeCell ref="F690:G690"/>
    <mergeCell ref="A477:I477"/>
    <mergeCell ref="A492:C492"/>
    <mergeCell ref="D542:D543"/>
    <mergeCell ref="F689:G689"/>
    <mergeCell ref="A649:F649"/>
    <mergeCell ref="C638:F638"/>
    <mergeCell ref="A625:D625"/>
    <mergeCell ref="A629:D629"/>
    <mergeCell ref="A636:F636"/>
    <mergeCell ref="A581:D581"/>
    <mergeCell ref="A626:D626"/>
    <mergeCell ref="A627:D627"/>
    <mergeCell ref="A628:D628"/>
    <mergeCell ref="A623:D623"/>
    <mergeCell ref="A564:D564"/>
    <mergeCell ref="A568:D568"/>
    <mergeCell ref="A624:D624"/>
    <mergeCell ref="A619:D619"/>
    <mergeCell ref="A620:D620"/>
    <mergeCell ref="A638:B639"/>
    <mergeCell ref="A537:D537"/>
    <mergeCell ref="A540:D540"/>
    <mergeCell ref="F3:J3"/>
    <mergeCell ref="A572:D572"/>
    <mergeCell ref="A543:B543"/>
    <mergeCell ref="A559:D559"/>
    <mergeCell ref="A560:D560"/>
    <mergeCell ref="A563:D563"/>
    <mergeCell ref="A61:C61"/>
    <mergeCell ref="A553:B553"/>
    <mergeCell ref="A549:B549"/>
    <mergeCell ref="A66:C66"/>
    <mergeCell ref="A546:B546"/>
    <mergeCell ref="A547:B547"/>
    <mergeCell ref="A548:B548"/>
    <mergeCell ref="A562:D562"/>
    <mergeCell ref="A530:D530"/>
    <mergeCell ref="A535:D535"/>
    <mergeCell ref="A538:D538"/>
    <mergeCell ref="A561:D561"/>
    <mergeCell ref="A550:B550"/>
    <mergeCell ref="A532:D532"/>
    <mergeCell ref="A533:D533"/>
    <mergeCell ref="A536:D536"/>
    <mergeCell ref="A524:D524"/>
    <mergeCell ref="A515:D515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Bemowo m.st. Warszawy
Informacja dodatkowa do sprawozdania finansowego za rok obrotowy zakończony 31 grudnia 2024r.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0" max="8" man="1"/>
    <brk id="538" max="16383" man="1"/>
    <brk id="556" max="16383" man="1"/>
    <brk id="577" max="16383" man="1"/>
    <brk id="596" max="16383" man="1"/>
    <brk id="634" max="16383" man="1"/>
    <brk id="6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zoomScaleNormal="100" workbookViewId="0">
      <selection activeCell="M16" sqref="M16"/>
    </sheetView>
  </sheetViews>
  <sheetFormatPr defaultColWidth="9.140625" defaultRowHeight="15" x14ac:dyDescent="0.2"/>
  <cols>
    <col min="1" max="1" width="16.85546875" style="533" customWidth="1"/>
    <col min="2" max="2" width="20.42578125" style="533" customWidth="1"/>
    <col min="3" max="3" width="18.7109375" style="533" customWidth="1"/>
    <col min="4" max="4" width="14.28515625" style="533" customWidth="1"/>
    <col min="5" max="5" width="15" style="533" customWidth="1"/>
    <col min="6" max="6" width="16" style="533" customWidth="1"/>
    <col min="7" max="7" width="24.5703125" style="533" customWidth="1"/>
    <col min="8" max="16384" width="9.140625" style="533"/>
  </cols>
  <sheetData>
    <row r="1" spans="1:8" s="684" customFormat="1" x14ac:dyDescent="0.25">
      <c r="F1" s="131" t="s">
        <v>333</v>
      </c>
      <c r="G1" s="128"/>
    </row>
    <row r="2" spans="1:8" s="684" customFormat="1" ht="76.5" customHeight="1" x14ac:dyDescent="0.25">
      <c r="F2" s="1667" t="s">
        <v>508</v>
      </c>
      <c r="G2" s="1668"/>
      <c r="H2" s="561"/>
    </row>
    <row r="3" spans="1:8" s="532" customFormat="1" ht="12" customHeight="1" x14ac:dyDescent="0.2">
      <c r="A3" s="562" t="s">
        <v>300</v>
      </c>
      <c r="B3" s="562"/>
      <c r="C3" s="531"/>
      <c r="D3" s="531"/>
      <c r="E3" s="531"/>
    </row>
    <row r="4" spans="1:8" ht="12.75" customHeight="1" x14ac:dyDescent="0.2">
      <c r="A4" s="685" t="s">
        <v>288</v>
      </c>
      <c r="B4" s="563"/>
      <c r="C4" s="560"/>
      <c r="D4" s="560"/>
      <c r="E4" s="560"/>
    </row>
    <row r="5" spans="1:8" ht="14.25" customHeight="1" x14ac:dyDescent="0.2">
      <c r="A5" s="560" t="s">
        <v>289</v>
      </c>
      <c r="B5" s="560"/>
      <c r="C5" s="560"/>
      <c r="D5" s="560"/>
      <c r="E5" s="560"/>
    </row>
    <row r="6" spans="1:8" ht="14.25" customHeight="1" x14ac:dyDescent="0.2">
      <c r="G6" s="686"/>
    </row>
    <row r="7" spans="1:8" ht="24" customHeight="1" x14ac:dyDescent="0.2">
      <c r="A7" s="1669" t="s">
        <v>1053</v>
      </c>
      <c r="B7" s="1669"/>
      <c r="C7" s="1669"/>
      <c r="D7" s="1669"/>
      <c r="E7" s="1669"/>
      <c r="F7" s="1669"/>
      <c r="G7" s="1669"/>
    </row>
    <row r="8" spans="1:8" ht="18" customHeight="1" x14ac:dyDescent="0.2">
      <c r="A8" s="1669"/>
      <c r="B8" s="1669"/>
      <c r="C8" s="1669"/>
      <c r="D8" s="1669"/>
      <c r="E8" s="1669"/>
      <c r="F8" s="1669"/>
      <c r="G8" s="1669"/>
    </row>
    <row r="9" spans="1:8" ht="19.5" customHeight="1" x14ac:dyDescent="0.2">
      <c r="A9" s="1669"/>
      <c r="B9" s="1669"/>
      <c r="C9" s="1669"/>
      <c r="D9" s="1669"/>
      <c r="E9" s="1669"/>
      <c r="F9" s="1669"/>
      <c r="G9" s="1669"/>
    </row>
    <row r="10" spans="1:8" ht="15" customHeight="1" thickBot="1" x14ac:dyDescent="0.25">
      <c r="A10" s="687"/>
      <c r="B10" s="687"/>
      <c r="C10" s="687"/>
      <c r="D10" s="687"/>
      <c r="E10" s="687"/>
      <c r="F10" s="687"/>
      <c r="G10" s="687"/>
    </row>
    <row r="11" spans="1:8" ht="27.75" customHeight="1" thickBot="1" x14ac:dyDescent="0.25">
      <c r="A11" s="1670" t="s">
        <v>395</v>
      </c>
      <c r="B11" s="1670" t="s">
        <v>214</v>
      </c>
      <c r="C11" s="1672" t="s">
        <v>215</v>
      </c>
      <c r="D11" s="1674" t="s">
        <v>335</v>
      </c>
      <c r="E11" s="1675"/>
      <c r="F11" s="1675"/>
      <c r="G11" s="1676"/>
    </row>
    <row r="12" spans="1:8" ht="31.5" customHeight="1" thickBot="1" x14ac:dyDescent="0.25">
      <c r="A12" s="1671"/>
      <c r="B12" s="1671"/>
      <c r="C12" s="1673"/>
      <c r="D12" s="688" t="s">
        <v>334</v>
      </c>
      <c r="E12" s="689" t="s">
        <v>392</v>
      </c>
      <c r="F12" s="689" t="s">
        <v>393</v>
      </c>
      <c r="G12" s="690" t="s">
        <v>394</v>
      </c>
    </row>
    <row r="13" spans="1:8" ht="15.75" customHeight="1" thickBot="1" x14ac:dyDescent="0.25">
      <c r="A13" s="691">
        <v>1</v>
      </c>
      <c r="B13" s="692">
        <v>2</v>
      </c>
      <c r="C13" s="693">
        <v>3</v>
      </c>
      <c r="D13" s="693">
        <v>4</v>
      </c>
      <c r="E13" s="693">
        <v>5</v>
      </c>
      <c r="F13" s="694">
        <v>6</v>
      </c>
      <c r="G13" s="695">
        <v>7</v>
      </c>
    </row>
    <row r="14" spans="1:8" ht="22.5" customHeight="1" thickBot="1" x14ac:dyDescent="0.25">
      <c r="A14" s="691" t="s">
        <v>955</v>
      </c>
      <c r="B14" s="729" t="s">
        <v>955</v>
      </c>
      <c r="C14" s="730" t="s">
        <v>955</v>
      </c>
      <c r="D14" s="730" t="s">
        <v>955</v>
      </c>
      <c r="E14" s="730" t="s">
        <v>955</v>
      </c>
      <c r="F14" s="731" t="s">
        <v>955</v>
      </c>
      <c r="G14" s="732" t="s">
        <v>955</v>
      </c>
    </row>
    <row r="15" spans="1:8" ht="22.5" customHeight="1" thickBot="1" x14ac:dyDescent="0.25">
      <c r="A15" s="691" t="s">
        <v>955</v>
      </c>
      <c r="B15" s="729" t="s">
        <v>955</v>
      </c>
      <c r="C15" s="730" t="s">
        <v>955</v>
      </c>
      <c r="D15" s="730" t="s">
        <v>955</v>
      </c>
      <c r="E15" s="730" t="s">
        <v>955</v>
      </c>
      <c r="F15" s="731" t="s">
        <v>955</v>
      </c>
      <c r="G15" s="732" t="s">
        <v>955</v>
      </c>
    </row>
    <row r="16" spans="1:8" ht="22.5" customHeight="1" thickBot="1" x14ac:dyDescent="0.25">
      <c r="A16" s="691" t="s">
        <v>955</v>
      </c>
      <c r="B16" s="729" t="s">
        <v>955</v>
      </c>
      <c r="C16" s="730" t="s">
        <v>955</v>
      </c>
      <c r="D16" s="730" t="s">
        <v>955</v>
      </c>
      <c r="E16" s="730" t="s">
        <v>955</v>
      </c>
      <c r="F16" s="731" t="s">
        <v>955</v>
      </c>
      <c r="G16" s="732" t="s">
        <v>955</v>
      </c>
    </row>
    <row r="17" spans="1:7" ht="22.5" customHeight="1" thickBot="1" x14ac:dyDescent="0.25">
      <c r="A17" s="691" t="s">
        <v>955</v>
      </c>
      <c r="B17" s="729" t="s">
        <v>955</v>
      </c>
      <c r="C17" s="730" t="s">
        <v>955</v>
      </c>
      <c r="D17" s="730" t="s">
        <v>955</v>
      </c>
      <c r="E17" s="730" t="s">
        <v>955</v>
      </c>
      <c r="F17" s="731" t="s">
        <v>955</v>
      </c>
      <c r="G17" s="732" t="s">
        <v>955</v>
      </c>
    </row>
    <row r="18" spans="1:7" ht="15.75" thickBot="1" x14ac:dyDescent="0.25">
      <c r="A18" s="696" t="s">
        <v>336</v>
      </c>
      <c r="B18" s="697">
        <f t="shared" ref="B18:G18" si="0">SUM(B14:B17)</f>
        <v>0</v>
      </c>
      <c r="C18" s="697">
        <f t="shared" si="0"/>
        <v>0</v>
      </c>
      <c r="D18" s="697">
        <f t="shared" si="0"/>
        <v>0</v>
      </c>
      <c r="E18" s="697">
        <f t="shared" si="0"/>
        <v>0</v>
      </c>
      <c r="F18" s="697">
        <f t="shared" si="0"/>
        <v>0</v>
      </c>
      <c r="G18" s="697">
        <f t="shared" si="0"/>
        <v>0</v>
      </c>
    </row>
    <row r="19" spans="1:7" ht="13.5" customHeight="1" x14ac:dyDescent="0.2">
      <c r="A19" s="698"/>
      <c r="B19" s="698"/>
      <c r="C19" s="698"/>
      <c r="D19" s="698"/>
      <c r="E19" s="698"/>
      <c r="F19" s="698"/>
      <c r="G19" s="686"/>
    </row>
    <row r="20" spans="1:7" ht="13.5" customHeight="1" x14ac:dyDescent="0.2">
      <c r="A20" s="698"/>
      <c r="B20" s="698"/>
      <c r="C20" s="698"/>
      <c r="D20" s="698"/>
      <c r="E20" s="698"/>
      <c r="F20" s="698"/>
      <c r="G20" s="686"/>
    </row>
    <row r="21" spans="1:7" ht="13.5" customHeight="1" x14ac:dyDescent="0.2">
      <c r="A21" s="698"/>
      <c r="B21" s="698"/>
      <c r="C21" s="698"/>
      <c r="D21" s="698"/>
      <c r="E21" s="698"/>
      <c r="F21" s="698"/>
      <c r="G21" s="686"/>
    </row>
    <row r="22" spans="1:7" ht="18.75" customHeight="1" x14ac:dyDescent="0.2">
      <c r="A22" s="533" t="s">
        <v>299</v>
      </c>
      <c r="D22" s="1666" t="s">
        <v>298</v>
      </c>
      <c r="E22" s="1666"/>
      <c r="G22" s="699"/>
    </row>
    <row r="23" spans="1:7" ht="30.75" customHeight="1" x14ac:dyDescent="0.2">
      <c r="A23" s="533" t="s">
        <v>291</v>
      </c>
      <c r="D23" s="1666" t="s">
        <v>290</v>
      </c>
      <c r="E23" s="1666"/>
      <c r="G23" s="699"/>
    </row>
    <row r="24" spans="1:7" ht="12.75" customHeight="1" x14ac:dyDescent="0.2"/>
  </sheetData>
  <mergeCells count="8">
    <mergeCell ref="D22:E22"/>
    <mergeCell ref="D23:E23"/>
    <mergeCell ref="F2:G2"/>
    <mergeCell ref="A7:G9"/>
    <mergeCell ref="A11:A12"/>
    <mergeCell ref="B11:B12"/>
    <mergeCell ref="C11:C12"/>
    <mergeCell ref="D11:G11"/>
  </mergeCells>
  <pageMargins left="0.51181102362204722" right="0.17" top="0.31496062992125984" bottom="0.27559055118110237" header="0.19685039370078741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4"/>
  <sheetViews>
    <sheetView topLeftCell="A35" zoomScaleNormal="100" workbookViewId="0">
      <selection activeCell="N64" sqref="N64"/>
    </sheetView>
  </sheetViews>
  <sheetFormatPr defaultRowHeight="15" x14ac:dyDescent="0.2"/>
  <cols>
    <col min="1" max="3" width="9.140625" style="539"/>
    <col min="4" max="4" width="9.42578125" style="539" customWidth="1"/>
    <col min="5" max="5" width="9.140625" style="539"/>
    <col min="6" max="6" width="8.28515625" style="536" customWidth="1"/>
    <col min="7" max="7" width="11.140625" style="539" customWidth="1"/>
    <col min="8" max="8" width="15.28515625" style="1104" bestFit="1" customWidth="1"/>
    <col min="9" max="9" width="6" style="539" customWidth="1"/>
    <col min="10" max="10" width="10.140625" style="539" customWidth="1"/>
    <col min="11" max="11" width="9.140625" style="539"/>
    <col min="12" max="12" width="12.42578125" style="539" bestFit="1" customWidth="1"/>
    <col min="13" max="13" width="12.85546875" style="539" bestFit="1" customWidth="1"/>
    <col min="14" max="15" width="13.28515625" style="539" bestFit="1" customWidth="1"/>
    <col min="16" max="259" width="9.140625" style="539"/>
    <col min="260" max="260" width="9.42578125" style="539" customWidth="1"/>
    <col min="261" max="261" width="9.140625" style="539"/>
    <col min="262" max="262" width="8.28515625" style="539" customWidth="1"/>
    <col min="263" max="263" width="11.140625" style="539" customWidth="1"/>
    <col min="264" max="264" width="15.28515625" style="539" bestFit="1" customWidth="1"/>
    <col min="265" max="265" width="6" style="539" customWidth="1"/>
    <col min="266" max="266" width="10.140625" style="539" customWidth="1"/>
    <col min="267" max="515" width="9.140625" style="539"/>
    <col min="516" max="516" width="9.42578125" style="539" customWidth="1"/>
    <col min="517" max="517" width="9.140625" style="539"/>
    <col min="518" max="518" width="8.28515625" style="539" customWidth="1"/>
    <col min="519" max="519" width="11.140625" style="539" customWidth="1"/>
    <col min="520" max="520" width="15.28515625" style="539" bestFit="1" customWidth="1"/>
    <col min="521" max="521" width="6" style="539" customWidth="1"/>
    <col min="522" max="522" width="10.140625" style="539" customWidth="1"/>
    <col min="523" max="771" width="9.140625" style="539"/>
    <col min="772" max="772" width="9.42578125" style="539" customWidth="1"/>
    <col min="773" max="773" width="9.140625" style="539"/>
    <col min="774" max="774" width="8.28515625" style="539" customWidth="1"/>
    <col min="775" max="775" width="11.140625" style="539" customWidth="1"/>
    <col min="776" max="776" width="15.28515625" style="539" bestFit="1" customWidth="1"/>
    <col min="777" max="777" width="6" style="539" customWidth="1"/>
    <col min="778" max="778" width="10.140625" style="539" customWidth="1"/>
    <col min="779" max="1027" width="9.140625" style="539"/>
    <col min="1028" max="1028" width="9.42578125" style="539" customWidth="1"/>
    <col min="1029" max="1029" width="9.140625" style="539"/>
    <col min="1030" max="1030" width="8.28515625" style="539" customWidth="1"/>
    <col min="1031" max="1031" width="11.140625" style="539" customWidth="1"/>
    <col min="1032" max="1032" width="15.28515625" style="539" bestFit="1" customWidth="1"/>
    <col min="1033" max="1033" width="6" style="539" customWidth="1"/>
    <col min="1034" max="1034" width="10.140625" style="539" customWidth="1"/>
    <col min="1035" max="1283" width="9.140625" style="539"/>
    <col min="1284" max="1284" width="9.42578125" style="539" customWidth="1"/>
    <col min="1285" max="1285" width="9.140625" style="539"/>
    <col min="1286" max="1286" width="8.28515625" style="539" customWidth="1"/>
    <col min="1287" max="1287" width="11.140625" style="539" customWidth="1"/>
    <col min="1288" max="1288" width="15.28515625" style="539" bestFit="1" customWidth="1"/>
    <col min="1289" max="1289" width="6" style="539" customWidth="1"/>
    <col min="1290" max="1290" width="10.140625" style="539" customWidth="1"/>
    <col min="1291" max="1539" width="9.140625" style="539"/>
    <col min="1540" max="1540" width="9.42578125" style="539" customWidth="1"/>
    <col min="1541" max="1541" width="9.140625" style="539"/>
    <col min="1542" max="1542" width="8.28515625" style="539" customWidth="1"/>
    <col min="1543" max="1543" width="11.140625" style="539" customWidth="1"/>
    <col min="1544" max="1544" width="15.28515625" style="539" bestFit="1" customWidth="1"/>
    <col min="1545" max="1545" width="6" style="539" customWidth="1"/>
    <col min="1546" max="1546" width="10.140625" style="539" customWidth="1"/>
    <col min="1547" max="1795" width="9.140625" style="539"/>
    <col min="1796" max="1796" width="9.42578125" style="539" customWidth="1"/>
    <col min="1797" max="1797" width="9.140625" style="539"/>
    <col min="1798" max="1798" width="8.28515625" style="539" customWidth="1"/>
    <col min="1799" max="1799" width="11.140625" style="539" customWidth="1"/>
    <col min="1800" max="1800" width="15.28515625" style="539" bestFit="1" customWidth="1"/>
    <col min="1801" max="1801" width="6" style="539" customWidth="1"/>
    <col min="1802" max="1802" width="10.140625" style="539" customWidth="1"/>
    <col min="1803" max="2051" width="9.140625" style="539"/>
    <col min="2052" max="2052" width="9.42578125" style="539" customWidth="1"/>
    <col min="2053" max="2053" width="9.140625" style="539"/>
    <col min="2054" max="2054" width="8.28515625" style="539" customWidth="1"/>
    <col min="2055" max="2055" width="11.140625" style="539" customWidth="1"/>
    <col min="2056" max="2056" width="15.28515625" style="539" bestFit="1" customWidth="1"/>
    <col min="2057" max="2057" width="6" style="539" customWidth="1"/>
    <col min="2058" max="2058" width="10.140625" style="539" customWidth="1"/>
    <col min="2059" max="2307" width="9.140625" style="539"/>
    <col min="2308" max="2308" width="9.42578125" style="539" customWidth="1"/>
    <col min="2309" max="2309" width="9.140625" style="539"/>
    <col min="2310" max="2310" width="8.28515625" style="539" customWidth="1"/>
    <col min="2311" max="2311" width="11.140625" style="539" customWidth="1"/>
    <col min="2312" max="2312" width="15.28515625" style="539" bestFit="1" customWidth="1"/>
    <col min="2313" max="2313" width="6" style="539" customWidth="1"/>
    <col min="2314" max="2314" width="10.140625" style="539" customWidth="1"/>
    <col min="2315" max="2563" width="9.140625" style="539"/>
    <col min="2564" max="2564" width="9.42578125" style="539" customWidth="1"/>
    <col min="2565" max="2565" width="9.140625" style="539"/>
    <col min="2566" max="2566" width="8.28515625" style="539" customWidth="1"/>
    <col min="2567" max="2567" width="11.140625" style="539" customWidth="1"/>
    <col min="2568" max="2568" width="15.28515625" style="539" bestFit="1" customWidth="1"/>
    <col min="2569" max="2569" width="6" style="539" customWidth="1"/>
    <col min="2570" max="2570" width="10.140625" style="539" customWidth="1"/>
    <col min="2571" max="2819" width="9.140625" style="539"/>
    <col min="2820" max="2820" width="9.42578125" style="539" customWidth="1"/>
    <col min="2821" max="2821" width="9.140625" style="539"/>
    <col min="2822" max="2822" width="8.28515625" style="539" customWidth="1"/>
    <col min="2823" max="2823" width="11.140625" style="539" customWidth="1"/>
    <col min="2824" max="2824" width="15.28515625" style="539" bestFit="1" customWidth="1"/>
    <col min="2825" max="2825" width="6" style="539" customWidth="1"/>
    <col min="2826" max="2826" width="10.140625" style="539" customWidth="1"/>
    <col min="2827" max="3075" width="9.140625" style="539"/>
    <col min="3076" max="3076" width="9.42578125" style="539" customWidth="1"/>
    <col min="3077" max="3077" width="9.140625" style="539"/>
    <col min="3078" max="3078" width="8.28515625" style="539" customWidth="1"/>
    <col min="3079" max="3079" width="11.140625" style="539" customWidth="1"/>
    <col min="3080" max="3080" width="15.28515625" style="539" bestFit="1" customWidth="1"/>
    <col min="3081" max="3081" width="6" style="539" customWidth="1"/>
    <col min="3082" max="3082" width="10.140625" style="539" customWidth="1"/>
    <col min="3083" max="3331" width="9.140625" style="539"/>
    <col min="3332" max="3332" width="9.42578125" style="539" customWidth="1"/>
    <col min="3333" max="3333" width="9.140625" style="539"/>
    <col min="3334" max="3334" width="8.28515625" style="539" customWidth="1"/>
    <col min="3335" max="3335" width="11.140625" style="539" customWidth="1"/>
    <col min="3336" max="3336" width="15.28515625" style="539" bestFit="1" customWidth="1"/>
    <col min="3337" max="3337" width="6" style="539" customWidth="1"/>
    <col min="3338" max="3338" width="10.140625" style="539" customWidth="1"/>
    <col min="3339" max="3587" width="9.140625" style="539"/>
    <col min="3588" max="3588" width="9.42578125" style="539" customWidth="1"/>
    <col min="3589" max="3589" width="9.140625" style="539"/>
    <col min="3590" max="3590" width="8.28515625" style="539" customWidth="1"/>
    <col min="3591" max="3591" width="11.140625" style="539" customWidth="1"/>
    <col min="3592" max="3592" width="15.28515625" style="539" bestFit="1" customWidth="1"/>
    <col min="3593" max="3593" width="6" style="539" customWidth="1"/>
    <col min="3594" max="3594" width="10.140625" style="539" customWidth="1"/>
    <col min="3595" max="3843" width="9.140625" style="539"/>
    <col min="3844" max="3844" width="9.42578125" style="539" customWidth="1"/>
    <col min="3845" max="3845" width="9.140625" style="539"/>
    <col min="3846" max="3846" width="8.28515625" style="539" customWidth="1"/>
    <col min="3847" max="3847" width="11.140625" style="539" customWidth="1"/>
    <col min="3848" max="3848" width="15.28515625" style="539" bestFit="1" customWidth="1"/>
    <col min="3849" max="3849" width="6" style="539" customWidth="1"/>
    <col min="3850" max="3850" width="10.140625" style="539" customWidth="1"/>
    <col min="3851" max="4099" width="9.140625" style="539"/>
    <col min="4100" max="4100" width="9.42578125" style="539" customWidth="1"/>
    <col min="4101" max="4101" width="9.140625" style="539"/>
    <col min="4102" max="4102" width="8.28515625" style="539" customWidth="1"/>
    <col min="4103" max="4103" width="11.140625" style="539" customWidth="1"/>
    <col min="4104" max="4104" width="15.28515625" style="539" bestFit="1" customWidth="1"/>
    <col min="4105" max="4105" width="6" style="539" customWidth="1"/>
    <col min="4106" max="4106" width="10.140625" style="539" customWidth="1"/>
    <col min="4107" max="4355" width="9.140625" style="539"/>
    <col min="4356" max="4356" width="9.42578125" style="539" customWidth="1"/>
    <col min="4357" max="4357" width="9.140625" style="539"/>
    <col min="4358" max="4358" width="8.28515625" style="539" customWidth="1"/>
    <col min="4359" max="4359" width="11.140625" style="539" customWidth="1"/>
    <col min="4360" max="4360" width="15.28515625" style="539" bestFit="1" customWidth="1"/>
    <col min="4361" max="4361" width="6" style="539" customWidth="1"/>
    <col min="4362" max="4362" width="10.140625" style="539" customWidth="1"/>
    <col min="4363" max="4611" width="9.140625" style="539"/>
    <col min="4612" max="4612" width="9.42578125" style="539" customWidth="1"/>
    <col min="4613" max="4613" width="9.140625" style="539"/>
    <col min="4614" max="4614" width="8.28515625" style="539" customWidth="1"/>
    <col min="4615" max="4615" width="11.140625" style="539" customWidth="1"/>
    <col min="4616" max="4616" width="15.28515625" style="539" bestFit="1" customWidth="1"/>
    <col min="4617" max="4617" width="6" style="539" customWidth="1"/>
    <col min="4618" max="4618" width="10.140625" style="539" customWidth="1"/>
    <col min="4619" max="4867" width="9.140625" style="539"/>
    <col min="4868" max="4868" width="9.42578125" style="539" customWidth="1"/>
    <col min="4869" max="4869" width="9.140625" style="539"/>
    <col min="4870" max="4870" width="8.28515625" style="539" customWidth="1"/>
    <col min="4871" max="4871" width="11.140625" style="539" customWidth="1"/>
    <col min="4872" max="4872" width="15.28515625" style="539" bestFit="1" customWidth="1"/>
    <col min="4873" max="4873" width="6" style="539" customWidth="1"/>
    <col min="4874" max="4874" width="10.140625" style="539" customWidth="1"/>
    <col min="4875" max="5123" width="9.140625" style="539"/>
    <col min="5124" max="5124" width="9.42578125" style="539" customWidth="1"/>
    <col min="5125" max="5125" width="9.140625" style="539"/>
    <col min="5126" max="5126" width="8.28515625" style="539" customWidth="1"/>
    <col min="5127" max="5127" width="11.140625" style="539" customWidth="1"/>
    <col min="5128" max="5128" width="15.28515625" style="539" bestFit="1" customWidth="1"/>
    <col min="5129" max="5129" width="6" style="539" customWidth="1"/>
    <col min="5130" max="5130" width="10.140625" style="539" customWidth="1"/>
    <col min="5131" max="5379" width="9.140625" style="539"/>
    <col min="5380" max="5380" width="9.42578125" style="539" customWidth="1"/>
    <col min="5381" max="5381" width="9.140625" style="539"/>
    <col min="5382" max="5382" width="8.28515625" style="539" customWidth="1"/>
    <col min="5383" max="5383" width="11.140625" style="539" customWidth="1"/>
    <col min="5384" max="5384" width="15.28515625" style="539" bestFit="1" customWidth="1"/>
    <col min="5385" max="5385" width="6" style="539" customWidth="1"/>
    <col min="5386" max="5386" width="10.140625" style="539" customWidth="1"/>
    <col min="5387" max="5635" width="9.140625" style="539"/>
    <col min="5636" max="5636" width="9.42578125" style="539" customWidth="1"/>
    <col min="5637" max="5637" width="9.140625" style="539"/>
    <col min="5638" max="5638" width="8.28515625" style="539" customWidth="1"/>
    <col min="5639" max="5639" width="11.140625" style="539" customWidth="1"/>
    <col min="5640" max="5640" width="15.28515625" style="539" bestFit="1" customWidth="1"/>
    <col min="5641" max="5641" width="6" style="539" customWidth="1"/>
    <col min="5642" max="5642" width="10.140625" style="539" customWidth="1"/>
    <col min="5643" max="5891" width="9.140625" style="539"/>
    <col min="5892" max="5892" width="9.42578125" style="539" customWidth="1"/>
    <col min="5893" max="5893" width="9.140625" style="539"/>
    <col min="5894" max="5894" width="8.28515625" style="539" customWidth="1"/>
    <col min="5895" max="5895" width="11.140625" style="539" customWidth="1"/>
    <col min="5896" max="5896" width="15.28515625" style="539" bestFit="1" customWidth="1"/>
    <col min="5897" max="5897" width="6" style="539" customWidth="1"/>
    <col min="5898" max="5898" width="10.140625" style="539" customWidth="1"/>
    <col min="5899" max="6147" width="9.140625" style="539"/>
    <col min="6148" max="6148" width="9.42578125" style="539" customWidth="1"/>
    <col min="6149" max="6149" width="9.140625" style="539"/>
    <col min="6150" max="6150" width="8.28515625" style="539" customWidth="1"/>
    <col min="6151" max="6151" width="11.140625" style="539" customWidth="1"/>
    <col min="6152" max="6152" width="15.28515625" style="539" bestFit="1" customWidth="1"/>
    <col min="6153" max="6153" width="6" style="539" customWidth="1"/>
    <col min="6154" max="6154" width="10.140625" style="539" customWidth="1"/>
    <col min="6155" max="6403" width="9.140625" style="539"/>
    <col min="6404" max="6404" width="9.42578125" style="539" customWidth="1"/>
    <col min="6405" max="6405" width="9.140625" style="539"/>
    <col min="6406" max="6406" width="8.28515625" style="539" customWidth="1"/>
    <col min="6407" max="6407" width="11.140625" style="539" customWidth="1"/>
    <col min="6408" max="6408" width="15.28515625" style="539" bestFit="1" customWidth="1"/>
    <col min="6409" max="6409" width="6" style="539" customWidth="1"/>
    <col min="6410" max="6410" width="10.140625" style="539" customWidth="1"/>
    <col min="6411" max="6659" width="9.140625" style="539"/>
    <col min="6660" max="6660" width="9.42578125" style="539" customWidth="1"/>
    <col min="6661" max="6661" width="9.140625" style="539"/>
    <col min="6662" max="6662" width="8.28515625" style="539" customWidth="1"/>
    <col min="6663" max="6663" width="11.140625" style="539" customWidth="1"/>
    <col min="6664" max="6664" width="15.28515625" style="539" bestFit="1" customWidth="1"/>
    <col min="6665" max="6665" width="6" style="539" customWidth="1"/>
    <col min="6666" max="6666" width="10.140625" style="539" customWidth="1"/>
    <col min="6667" max="6915" width="9.140625" style="539"/>
    <col min="6916" max="6916" width="9.42578125" style="539" customWidth="1"/>
    <col min="6917" max="6917" width="9.140625" style="539"/>
    <col min="6918" max="6918" width="8.28515625" style="539" customWidth="1"/>
    <col min="6919" max="6919" width="11.140625" style="539" customWidth="1"/>
    <col min="6920" max="6920" width="15.28515625" style="539" bestFit="1" customWidth="1"/>
    <col min="6921" max="6921" width="6" style="539" customWidth="1"/>
    <col min="6922" max="6922" width="10.140625" style="539" customWidth="1"/>
    <col min="6923" max="7171" width="9.140625" style="539"/>
    <col min="7172" max="7172" width="9.42578125" style="539" customWidth="1"/>
    <col min="7173" max="7173" width="9.140625" style="539"/>
    <col min="7174" max="7174" width="8.28515625" style="539" customWidth="1"/>
    <col min="7175" max="7175" width="11.140625" style="539" customWidth="1"/>
    <col min="7176" max="7176" width="15.28515625" style="539" bestFit="1" customWidth="1"/>
    <col min="7177" max="7177" width="6" style="539" customWidth="1"/>
    <col min="7178" max="7178" width="10.140625" style="539" customWidth="1"/>
    <col min="7179" max="7427" width="9.140625" style="539"/>
    <col min="7428" max="7428" width="9.42578125" style="539" customWidth="1"/>
    <col min="7429" max="7429" width="9.140625" style="539"/>
    <col min="7430" max="7430" width="8.28515625" style="539" customWidth="1"/>
    <col min="7431" max="7431" width="11.140625" style="539" customWidth="1"/>
    <col min="7432" max="7432" width="15.28515625" style="539" bestFit="1" customWidth="1"/>
    <col min="7433" max="7433" width="6" style="539" customWidth="1"/>
    <col min="7434" max="7434" width="10.140625" style="539" customWidth="1"/>
    <col min="7435" max="7683" width="9.140625" style="539"/>
    <col min="7684" max="7684" width="9.42578125" style="539" customWidth="1"/>
    <col min="7685" max="7685" width="9.140625" style="539"/>
    <col min="7686" max="7686" width="8.28515625" style="539" customWidth="1"/>
    <col min="7687" max="7687" width="11.140625" style="539" customWidth="1"/>
    <col min="7688" max="7688" width="15.28515625" style="539" bestFit="1" customWidth="1"/>
    <col min="7689" max="7689" width="6" style="539" customWidth="1"/>
    <col min="7690" max="7690" width="10.140625" style="539" customWidth="1"/>
    <col min="7691" max="7939" width="9.140625" style="539"/>
    <col min="7940" max="7940" width="9.42578125" style="539" customWidth="1"/>
    <col min="7941" max="7941" width="9.140625" style="539"/>
    <col min="7942" max="7942" width="8.28515625" style="539" customWidth="1"/>
    <col min="7943" max="7943" width="11.140625" style="539" customWidth="1"/>
    <col min="7944" max="7944" width="15.28515625" style="539" bestFit="1" customWidth="1"/>
    <col min="7945" max="7945" width="6" style="539" customWidth="1"/>
    <col min="7946" max="7946" width="10.140625" style="539" customWidth="1"/>
    <col min="7947" max="8195" width="9.140625" style="539"/>
    <col min="8196" max="8196" width="9.42578125" style="539" customWidth="1"/>
    <col min="8197" max="8197" width="9.140625" style="539"/>
    <col min="8198" max="8198" width="8.28515625" style="539" customWidth="1"/>
    <col min="8199" max="8199" width="11.140625" style="539" customWidth="1"/>
    <col min="8200" max="8200" width="15.28515625" style="539" bestFit="1" customWidth="1"/>
    <col min="8201" max="8201" width="6" style="539" customWidth="1"/>
    <col min="8202" max="8202" width="10.140625" style="539" customWidth="1"/>
    <col min="8203" max="8451" width="9.140625" style="539"/>
    <col min="8452" max="8452" width="9.42578125" style="539" customWidth="1"/>
    <col min="8453" max="8453" width="9.140625" style="539"/>
    <col min="8454" max="8454" width="8.28515625" style="539" customWidth="1"/>
    <col min="8455" max="8455" width="11.140625" style="539" customWidth="1"/>
    <col min="8456" max="8456" width="15.28515625" style="539" bestFit="1" customWidth="1"/>
    <col min="8457" max="8457" width="6" style="539" customWidth="1"/>
    <col min="8458" max="8458" width="10.140625" style="539" customWidth="1"/>
    <col min="8459" max="8707" width="9.140625" style="539"/>
    <col min="8708" max="8708" width="9.42578125" style="539" customWidth="1"/>
    <col min="8709" max="8709" width="9.140625" style="539"/>
    <col min="8710" max="8710" width="8.28515625" style="539" customWidth="1"/>
    <col min="8711" max="8711" width="11.140625" style="539" customWidth="1"/>
    <col min="8712" max="8712" width="15.28515625" style="539" bestFit="1" customWidth="1"/>
    <col min="8713" max="8713" width="6" style="539" customWidth="1"/>
    <col min="8714" max="8714" width="10.140625" style="539" customWidth="1"/>
    <col min="8715" max="8963" width="9.140625" style="539"/>
    <col min="8964" max="8964" width="9.42578125" style="539" customWidth="1"/>
    <col min="8965" max="8965" width="9.140625" style="539"/>
    <col min="8966" max="8966" width="8.28515625" style="539" customWidth="1"/>
    <col min="8967" max="8967" width="11.140625" style="539" customWidth="1"/>
    <col min="8968" max="8968" width="15.28515625" style="539" bestFit="1" customWidth="1"/>
    <col min="8969" max="8969" width="6" style="539" customWidth="1"/>
    <col min="8970" max="8970" width="10.140625" style="539" customWidth="1"/>
    <col min="8971" max="9219" width="9.140625" style="539"/>
    <col min="9220" max="9220" width="9.42578125" style="539" customWidth="1"/>
    <col min="9221" max="9221" width="9.140625" style="539"/>
    <col min="9222" max="9222" width="8.28515625" style="539" customWidth="1"/>
    <col min="9223" max="9223" width="11.140625" style="539" customWidth="1"/>
    <col min="9224" max="9224" width="15.28515625" style="539" bestFit="1" customWidth="1"/>
    <col min="9225" max="9225" width="6" style="539" customWidth="1"/>
    <col min="9226" max="9226" width="10.140625" style="539" customWidth="1"/>
    <col min="9227" max="9475" width="9.140625" style="539"/>
    <col min="9476" max="9476" width="9.42578125" style="539" customWidth="1"/>
    <col min="9477" max="9477" width="9.140625" style="539"/>
    <col min="9478" max="9478" width="8.28515625" style="539" customWidth="1"/>
    <col min="9479" max="9479" width="11.140625" style="539" customWidth="1"/>
    <col min="9480" max="9480" width="15.28515625" style="539" bestFit="1" customWidth="1"/>
    <col min="9481" max="9481" width="6" style="539" customWidth="1"/>
    <col min="9482" max="9482" width="10.140625" style="539" customWidth="1"/>
    <col min="9483" max="9731" width="9.140625" style="539"/>
    <col min="9732" max="9732" width="9.42578125" style="539" customWidth="1"/>
    <col min="9733" max="9733" width="9.140625" style="539"/>
    <col min="9734" max="9734" width="8.28515625" style="539" customWidth="1"/>
    <col min="9735" max="9735" width="11.140625" style="539" customWidth="1"/>
    <col min="9736" max="9736" width="15.28515625" style="539" bestFit="1" customWidth="1"/>
    <col min="9737" max="9737" width="6" style="539" customWidth="1"/>
    <col min="9738" max="9738" width="10.140625" style="539" customWidth="1"/>
    <col min="9739" max="9987" width="9.140625" style="539"/>
    <col min="9988" max="9988" width="9.42578125" style="539" customWidth="1"/>
    <col min="9989" max="9989" width="9.140625" style="539"/>
    <col min="9990" max="9990" width="8.28515625" style="539" customWidth="1"/>
    <col min="9991" max="9991" width="11.140625" style="539" customWidth="1"/>
    <col min="9992" max="9992" width="15.28515625" style="539" bestFit="1" customWidth="1"/>
    <col min="9993" max="9993" width="6" style="539" customWidth="1"/>
    <col min="9994" max="9994" width="10.140625" style="539" customWidth="1"/>
    <col min="9995" max="10243" width="9.140625" style="539"/>
    <col min="10244" max="10244" width="9.42578125" style="539" customWidth="1"/>
    <col min="10245" max="10245" width="9.140625" style="539"/>
    <col min="10246" max="10246" width="8.28515625" style="539" customWidth="1"/>
    <col min="10247" max="10247" width="11.140625" style="539" customWidth="1"/>
    <col min="10248" max="10248" width="15.28515625" style="539" bestFit="1" customWidth="1"/>
    <col min="10249" max="10249" width="6" style="539" customWidth="1"/>
    <col min="10250" max="10250" width="10.140625" style="539" customWidth="1"/>
    <col min="10251" max="10499" width="9.140625" style="539"/>
    <col min="10500" max="10500" width="9.42578125" style="539" customWidth="1"/>
    <col min="10501" max="10501" width="9.140625" style="539"/>
    <col min="10502" max="10502" width="8.28515625" style="539" customWidth="1"/>
    <col min="10503" max="10503" width="11.140625" style="539" customWidth="1"/>
    <col min="10504" max="10504" width="15.28515625" style="539" bestFit="1" customWidth="1"/>
    <col min="10505" max="10505" width="6" style="539" customWidth="1"/>
    <col min="10506" max="10506" width="10.140625" style="539" customWidth="1"/>
    <col min="10507" max="10755" width="9.140625" style="539"/>
    <col min="10756" max="10756" width="9.42578125" style="539" customWidth="1"/>
    <col min="10757" max="10757" width="9.140625" style="539"/>
    <col min="10758" max="10758" width="8.28515625" style="539" customWidth="1"/>
    <col min="10759" max="10759" width="11.140625" style="539" customWidth="1"/>
    <col min="10760" max="10760" width="15.28515625" style="539" bestFit="1" customWidth="1"/>
    <col min="10761" max="10761" width="6" style="539" customWidth="1"/>
    <col min="10762" max="10762" width="10.140625" style="539" customWidth="1"/>
    <col min="10763" max="11011" width="9.140625" style="539"/>
    <col min="11012" max="11012" width="9.42578125" style="539" customWidth="1"/>
    <col min="11013" max="11013" width="9.140625" style="539"/>
    <col min="11014" max="11014" width="8.28515625" style="539" customWidth="1"/>
    <col min="11015" max="11015" width="11.140625" style="539" customWidth="1"/>
    <col min="11016" max="11016" width="15.28515625" style="539" bestFit="1" customWidth="1"/>
    <col min="11017" max="11017" width="6" style="539" customWidth="1"/>
    <col min="11018" max="11018" width="10.140625" style="539" customWidth="1"/>
    <col min="11019" max="11267" width="9.140625" style="539"/>
    <col min="11268" max="11268" width="9.42578125" style="539" customWidth="1"/>
    <col min="11269" max="11269" width="9.140625" style="539"/>
    <col min="11270" max="11270" width="8.28515625" style="539" customWidth="1"/>
    <col min="11271" max="11271" width="11.140625" style="539" customWidth="1"/>
    <col min="11272" max="11272" width="15.28515625" style="539" bestFit="1" customWidth="1"/>
    <col min="11273" max="11273" width="6" style="539" customWidth="1"/>
    <col min="11274" max="11274" width="10.140625" style="539" customWidth="1"/>
    <col min="11275" max="11523" width="9.140625" style="539"/>
    <col min="11524" max="11524" width="9.42578125" style="539" customWidth="1"/>
    <col min="11525" max="11525" width="9.140625" style="539"/>
    <col min="11526" max="11526" width="8.28515625" style="539" customWidth="1"/>
    <col min="11527" max="11527" width="11.140625" style="539" customWidth="1"/>
    <col min="11528" max="11528" width="15.28515625" style="539" bestFit="1" customWidth="1"/>
    <col min="11529" max="11529" width="6" style="539" customWidth="1"/>
    <col min="11530" max="11530" width="10.140625" style="539" customWidth="1"/>
    <col min="11531" max="11779" width="9.140625" style="539"/>
    <col min="11780" max="11780" width="9.42578125" style="539" customWidth="1"/>
    <col min="11781" max="11781" width="9.140625" style="539"/>
    <col min="11782" max="11782" width="8.28515625" style="539" customWidth="1"/>
    <col min="11783" max="11783" width="11.140625" style="539" customWidth="1"/>
    <col min="11784" max="11784" width="15.28515625" style="539" bestFit="1" customWidth="1"/>
    <col min="11785" max="11785" width="6" style="539" customWidth="1"/>
    <col min="11786" max="11786" width="10.140625" style="539" customWidth="1"/>
    <col min="11787" max="12035" width="9.140625" style="539"/>
    <col min="12036" max="12036" width="9.42578125" style="539" customWidth="1"/>
    <col min="12037" max="12037" width="9.140625" style="539"/>
    <col min="12038" max="12038" width="8.28515625" style="539" customWidth="1"/>
    <col min="12039" max="12039" width="11.140625" style="539" customWidth="1"/>
    <col min="12040" max="12040" width="15.28515625" style="539" bestFit="1" customWidth="1"/>
    <col min="12041" max="12041" width="6" style="539" customWidth="1"/>
    <col min="12042" max="12042" width="10.140625" style="539" customWidth="1"/>
    <col min="12043" max="12291" width="9.140625" style="539"/>
    <col min="12292" max="12292" width="9.42578125" style="539" customWidth="1"/>
    <col min="12293" max="12293" width="9.140625" style="539"/>
    <col min="12294" max="12294" width="8.28515625" style="539" customWidth="1"/>
    <col min="12295" max="12295" width="11.140625" style="539" customWidth="1"/>
    <col min="12296" max="12296" width="15.28515625" style="539" bestFit="1" customWidth="1"/>
    <col min="12297" max="12297" width="6" style="539" customWidth="1"/>
    <col min="12298" max="12298" width="10.140625" style="539" customWidth="1"/>
    <col min="12299" max="12547" width="9.140625" style="539"/>
    <col min="12548" max="12548" width="9.42578125" style="539" customWidth="1"/>
    <col min="12549" max="12549" width="9.140625" style="539"/>
    <col min="12550" max="12550" width="8.28515625" style="539" customWidth="1"/>
    <col min="12551" max="12551" width="11.140625" style="539" customWidth="1"/>
    <col min="12552" max="12552" width="15.28515625" style="539" bestFit="1" customWidth="1"/>
    <col min="12553" max="12553" width="6" style="539" customWidth="1"/>
    <col min="12554" max="12554" width="10.140625" style="539" customWidth="1"/>
    <col min="12555" max="12803" width="9.140625" style="539"/>
    <col min="12804" max="12804" width="9.42578125" style="539" customWidth="1"/>
    <col min="12805" max="12805" width="9.140625" style="539"/>
    <col min="12806" max="12806" width="8.28515625" style="539" customWidth="1"/>
    <col min="12807" max="12807" width="11.140625" style="539" customWidth="1"/>
    <col min="12808" max="12808" width="15.28515625" style="539" bestFit="1" customWidth="1"/>
    <col min="12809" max="12809" width="6" style="539" customWidth="1"/>
    <col min="12810" max="12810" width="10.140625" style="539" customWidth="1"/>
    <col min="12811" max="13059" width="9.140625" style="539"/>
    <col min="13060" max="13060" width="9.42578125" style="539" customWidth="1"/>
    <col min="13061" max="13061" width="9.140625" style="539"/>
    <col min="13062" max="13062" width="8.28515625" style="539" customWidth="1"/>
    <col min="13063" max="13063" width="11.140625" style="539" customWidth="1"/>
    <col min="13064" max="13064" width="15.28515625" style="539" bestFit="1" customWidth="1"/>
    <col min="13065" max="13065" width="6" style="539" customWidth="1"/>
    <col min="13066" max="13066" width="10.140625" style="539" customWidth="1"/>
    <col min="13067" max="13315" width="9.140625" style="539"/>
    <col min="13316" max="13316" width="9.42578125" style="539" customWidth="1"/>
    <col min="13317" max="13317" width="9.140625" style="539"/>
    <col min="13318" max="13318" width="8.28515625" style="539" customWidth="1"/>
    <col min="13319" max="13319" width="11.140625" style="539" customWidth="1"/>
    <col min="13320" max="13320" width="15.28515625" style="539" bestFit="1" customWidth="1"/>
    <col min="13321" max="13321" width="6" style="539" customWidth="1"/>
    <col min="13322" max="13322" width="10.140625" style="539" customWidth="1"/>
    <col min="13323" max="13571" width="9.140625" style="539"/>
    <col min="13572" max="13572" width="9.42578125" style="539" customWidth="1"/>
    <col min="13573" max="13573" width="9.140625" style="539"/>
    <col min="13574" max="13574" width="8.28515625" style="539" customWidth="1"/>
    <col min="13575" max="13575" width="11.140625" style="539" customWidth="1"/>
    <col min="13576" max="13576" width="15.28515625" style="539" bestFit="1" customWidth="1"/>
    <col min="13577" max="13577" width="6" style="539" customWidth="1"/>
    <col min="13578" max="13578" width="10.140625" style="539" customWidth="1"/>
    <col min="13579" max="13827" width="9.140625" style="539"/>
    <col min="13828" max="13828" width="9.42578125" style="539" customWidth="1"/>
    <col min="13829" max="13829" width="9.140625" style="539"/>
    <col min="13830" max="13830" width="8.28515625" style="539" customWidth="1"/>
    <col min="13831" max="13831" width="11.140625" style="539" customWidth="1"/>
    <col min="13832" max="13832" width="15.28515625" style="539" bestFit="1" customWidth="1"/>
    <col min="13833" max="13833" width="6" style="539" customWidth="1"/>
    <col min="13834" max="13834" width="10.140625" style="539" customWidth="1"/>
    <col min="13835" max="14083" width="9.140625" style="539"/>
    <col min="14084" max="14084" width="9.42578125" style="539" customWidth="1"/>
    <col min="14085" max="14085" width="9.140625" style="539"/>
    <col min="14086" max="14086" width="8.28515625" style="539" customWidth="1"/>
    <col min="14087" max="14087" width="11.140625" style="539" customWidth="1"/>
    <col min="14088" max="14088" width="15.28515625" style="539" bestFit="1" customWidth="1"/>
    <col min="14089" max="14089" width="6" style="539" customWidth="1"/>
    <col min="14090" max="14090" width="10.140625" style="539" customWidth="1"/>
    <col min="14091" max="14339" width="9.140625" style="539"/>
    <col min="14340" max="14340" width="9.42578125" style="539" customWidth="1"/>
    <col min="14341" max="14341" width="9.140625" style="539"/>
    <col min="14342" max="14342" width="8.28515625" style="539" customWidth="1"/>
    <col min="14343" max="14343" width="11.140625" style="539" customWidth="1"/>
    <col min="14344" max="14344" width="15.28515625" style="539" bestFit="1" customWidth="1"/>
    <col min="14345" max="14345" width="6" style="539" customWidth="1"/>
    <col min="14346" max="14346" width="10.140625" style="539" customWidth="1"/>
    <col min="14347" max="14595" width="9.140625" style="539"/>
    <col min="14596" max="14596" width="9.42578125" style="539" customWidth="1"/>
    <col min="14597" max="14597" width="9.140625" style="539"/>
    <col min="14598" max="14598" width="8.28515625" style="539" customWidth="1"/>
    <col min="14599" max="14599" width="11.140625" style="539" customWidth="1"/>
    <col min="14600" max="14600" width="15.28515625" style="539" bestFit="1" customWidth="1"/>
    <col min="14601" max="14601" width="6" style="539" customWidth="1"/>
    <col min="14602" max="14602" width="10.140625" style="539" customWidth="1"/>
    <col min="14603" max="14851" width="9.140625" style="539"/>
    <col min="14852" max="14852" width="9.42578125" style="539" customWidth="1"/>
    <col min="14853" max="14853" width="9.140625" style="539"/>
    <col min="14854" max="14854" width="8.28515625" style="539" customWidth="1"/>
    <col min="14855" max="14855" width="11.140625" style="539" customWidth="1"/>
    <col min="14856" max="14856" width="15.28515625" style="539" bestFit="1" customWidth="1"/>
    <col min="14857" max="14857" width="6" style="539" customWidth="1"/>
    <col min="14858" max="14858" width="10.140625" style="539" customWidth="1"/>
    <col min="14859" max="15107" width="9.140625" style="539"/>
    <col min="15108" max="15108" width="9.42578125" style="539" customWidth="1"/>
    <col min="15109" max="15109" width="9.140625" style="539"/>
    <col min="15110" max="15110" width="8.28515625" style="539" customWidth="1"/>
    <col min="15111" max="15111" width="11.140625" style="539" customWidth="1"/>
    <col min="15112" max="15112" width="15.28515625" style="539" bestFit="1" customWidth="1"/>
    <col min="15113" max="15113" width="6" style="539" customWidth="1"/>
    <col min="15114" max="15114" width="10.140625" style="539" customWidth="1"/>
    <col min="15115" max="15363" width="9.140625" style="539"/>
    <col min="15364" max="15364" width="9.42578125" style="539" customWidth="1"/>
    <col min="15365" max="15365" width="9.140625" style="539"/>
    <col min="15366" max="15366" width="8.28515625" style="539" customWidth="1"/>
    <col min="15367" max="15367" width="11.140625" style="539" customWidth="1"/>
    <col min="15368" max="15368" width="15.28515625" style="539" bestFit="1" customWidth="1"/>
    <col min="15369" max="15369" width="6" style="539" customWidth="1"/>
    <col min="15370" max="15370" width="10.140625" style="539" customWidth="1"/>
    <col min="15371" max="15619" width="9.140625" style="539"/>
    <col min="15620" max="15620" width="9.42578125" style="539" customWidth="1"/>
    <col min="15621" max="15621" width="9.140625" style="539"/>
    <col min="15622" max="15622" width="8.28515625" style="539" customWidth="1"/>
    <col min="15623" max="15623" width="11.140625" style="539" customWidth="1"/>
    <col min="15624" max="15624" width="15.28515625" style="539" bestFit="1" customWidth="1"/>
    <col min="15625" max="15625" width="6" style="539" customWidth="1"/>
    <col min="15626" max="15626" width="10.140625" style="539" customWidth="1"/>
    <col min="15627" max="15875" width="9.140625" style="539"/>
    <col min="15876" max="15876" width="9.42578125" style="539" customWidth="1"/>
    <col min="15877" max="15877" width="9.140625" style="539"/>
    <col min="15878" max="15878" width="8.28515625" style="539" customWidth="1"/>
    <col min="15879" max="15879" width="11.140625" style="539" customWidth="1"/>
    <col min="15880" max="15880" width="15.28515625" style="539" bestFit="1" customWidth="1"/>
    <col min="15881" max="15881" width="6" style="539" customWidth="1"/>
    <col min="15882" max="15882" width="10.140625" style="539" customWidth="1"/>
    <col min="15883" max="16131" width="9.140625" style="539"/>
    <col min="16132" max="16132" width="9.42578125" style="539" customWidth="1"/>
    <col min="16133" max="16133" width="9.140625" style="539"/>
    <col min="16134" max="16134" width="8.28515625" style="539" customWidth="1"/>
    <col min="16135" max="16135" width="11.140625" style="539" customWidth="1"/>
    <col min="16136" max="16136" width="15.28515625" style="539" bestFit="1" customWidth="1"/>
    <col min="16137" max="16137" width="6" style="539" customWidth="1"/>
    <col min="16138" max="16138" width="10.140625" style="539" customWidth="1"/>
    <col min="16139" max="16384" width="9.140625" style="539"/>
  </cols>
  <sheetData>
    <row r="1" spans="1:15" s="529" customFormat="1" x14ac:dyDescent="0.25">
      <c r="F1" s="530"/>
      <c r="G1" s="1678" t="s">
        <v>499</v>
      </c>
      <c r="H1" s="1678"/>
      <c r="I1" s="1678"/>
      <c r="J1" s="1678"/>
    </row>
    <row r="2" spans="1:15" s="529" customFormat="1" ht="79.5" customHeight="1" x14ac:dyDescent="0.25">
      <c r="F2" s="530"/>
      <c r="G2" s="1667" t="s">
        <v>508</v>
      </c>
      <c r="H2" s="1668"/>
      <c r="I2" s="1668"/>
      <c r="J2" s="1668"/>
      <c r="M2" s="284"/>
      <c r="N2" s="1011"/>
    </row>
    <row r="3" spans="1:15" s="532" customFormat="1" ht="12" customHeight="1" x14ac:dyDescent="0.2">
      <c r="A3" s="1679" t="s">
        <v>300</v>
      </c>
      <c r="B3" s="1679"/>
      <c r="C3" s="531"/>
      <c r="D3" s="531"/>
      <c r="E3" s="531"/>
      <c r="H3" s="1298"/>
    </row>
    <row r="4" spans="1:15" s="533" customFormat="1" ht="12.75" customHeight="1" x14ac:dyDescent="0.2">
      <c r="A4" s="1680" t="s">
        <v>288</v>
      </c>
      <c r="B4" s="1680"/>
      <c r="C4" s="560"/>
      <c r="D4" s="560"/>
      <c r="E4" s="560"/>
      <c r="H4" s="1299"/>
    </row>
    <row r="5" spans="1:15" s="533" customFormat="1" ht="14.25" customHeight="1" x14ac:dyDescent="0.2">
      <c r="A5" s="1677" t="s">
        <v>289</v>
      </c>
      <c r="B5" s="1677"/>
      <c r="C5" s="560"/>
      <c r="D5" s="560"/>
      <c r="E5" s="560"/>
      <c r="H5" s="1299"/>
    </row>
    <row r="6" spans="1:15" s="534" customFormat="1" ht="11.25" customHeight="1" x14ac:dyDescent="0.2">
      <c r="F6" s="535"/>
      <c r="H6" s="1300"/>
    </row>
    <row r="7" spans="1:15" ht="94.5" customHeight="1" x14ac:dyDescent="0.2">
      <c r="A7" s="1683" t="s">
        <v>1052</v>
      </c>
      <c r="B7" s="1684"/>
      <c r="C7" s="1684"/>
      <c r="D7" s="1684"/>
      <c r="E7" s="1684"/>
      <c r="F7" s="1684"/>
      <c r="G7" s="1684"/>
      <c r="H7" s="1684"/>
      <c r="I7" s="1684"/>
      <c r="J7" s="1684"/>
      <c r="O7" s="537">
        <f>H185+H192+H199+H207+H248+H256+H266-Bilans!F25</f>
        <v>0</v>
      </c>
    </row>
    <row r="8" spans="1:15" ht="12.75" customHeight="1" x14ac:dyDescent="0.2"/>
    <row r="9" spans="1:15" ht="16.5" customHeight="1" x14ac:dyDescent="0.2">
      <c r="E9" s="538" t="s">
        <v>230</v>
      </c>
    </row>
    <row r="10" spans="1:15" ht="23.25" customHeight="1" x14ac:dyDescent="0.2">
      <c r="A10" s="538" t="s">
        <v>286</v>
      </c>
    </row>
    <row r="11" spans="1:15" ht="7.5" customHeight="1" x14ac:dyDescent="0.2"/>
    <row r="12" spans="1:15" ht="15.75" thickBot="1" x14ac:dyDescent="0.25">
      <c r="A12" s="540" t="s">
        <v>245</v>
      </c>
      <c r="B12" s="541"/>
      <c r="C12" s="541"/>
      <c r="D12" s="541"/>
      <c r="E12" s="541"/>
      <c r="F12" s="542"/>
      <c r="G12" s="540" t="s">
        <v>230</v>
      </c>
      <c r="H12" s="1106" t="s">
        <v>287</v>
      </c>
      <c r="I12" s="540" t="s">
        <v>261</v>
      </c>
      <c r="J12" s="540" t="s">
        <v>165</v>
      </c>
    </row>
    <row r="13" spans="1:15" ht="15.75" thickTop="1" x14ac:dyDescent="0.2">
      <c r="F13" s="536" t="s">
        <v>234</v>
      </c>
    </row>
    <row r="14" spans="1:15" x14ac:dyDescent="0.2">
      <c r="F14" s="536" t="s">
        <v>1007</v>
      </c>
      <c r="G14" s="543"/>
      <c r="H14" s="1103">
        <f>680.49</f>
        <v>680.49</v>
      </c>
      <c r="I14" s="543"/>
    </row>
    <row r="15" spans="1:15" x14ac:dyDescent="0.2">
      <c r="F15" s="544" t="s">
        <v>34</v>
      </c>
      <c r="G15" s="543"/>
      <c r="H15" s="1103"/>
      <c r="I15" s="543"/>
      <c r="J15" s="545"/>
    </row>
    <row r="16" spans="1:15" x14ac:dyDescent="0.2">
      <c r="F16" s="536" t="s">
        <v>1008</v>
      </c>
      <c r="G16" s="543"/>
      <c r="H16" s="1103">
        <v>444988.33</v>
      </c>
      <c r="I16" s="543"/>
    </row>
    <row r="17" spans="1:15" x14ac:dyDescent="0.2">
      <c r="F17" s="544" t="s">
        <v>1034</v>
      </c>
      <c r="G17" s="543"/>
      <c r="H17" s="1103">
        <v>-444988.33</v>
      </c>
      <c r="I17" s="543"/>
      <c r="J17" s="545"/>
    </row>
    <row r="18" spans="1:15" s="700" customFormat="1" x14ac:dyDescent="0.2">
      <c r="F18" s="1097" t="s">
        <v>975</v>
      </c>
      <c r="G18" s="701"/>
      <c r="H18" s="1103"/>
      <c r="I18" s="701"/>
    </row>
    <row r="19" spans="1:15" s="700" customFormat="1" x14ac:dyDescent="0.2">
      <c r="F19" s="1098" t="s">
        <v>976</v>
      </c>
      <c r="G19" s="701"/>
      <c r="H19" s="1103"/>
      <c r="I19" s="701"/>
      <c r="J19" s="703"/>
    </row>
    <row r="20" spans="1:15" x14ac:dyDescent="0.2">
      <c r="F20" s="536" t="s">
        <v>191</v>
      </c>
    </row>
    <row r="21" spans="1:15" ht="15.75" thickBot="1" x14ac:dyDescent="0.25">
      <c r="G21" s="546" t="s">
        <v>232</v>
      </c>
      <c r="H21" s="1105">
        <f>SUM(H14:H20)</f>
        <v>680.48999999999069</v>
      </c>
      <c r="I21" s="546"/>
      <c r="J21" s="545"/>
      <c r="O21" s="537">
        <f>Bilans!C39-'Załącznik 10'!H21</f>
        <v>0</v>
      </c>
    </row>
    <row r="22" spans="1:15" ht="6.75" customHeight="1" x14ac:dyDescent="0.2"/>
    <row r="24" spans="1:15" ht="15.75" thickBot="1" x14ac:dyDescent="0.25">
      <c r="A24" s="540" t="s">
        <v>247</v>
      </c>
      <c r="B24" s="541"/>
      <c r="C24" s="541"/>
      <c r="D24" s="541"/>
      <c r="E24" s="541"/>
      <c r="F24" s="542"/>
      <c r="G24" s="540" t="s">
        <v>230</v>
      </c>
      <c r="H24" s="1106" t="s">
        <v>287</v>
      </c>
      <c r="I24" s="540" t="s">
        <v>261</v>
      </c>
      <c r="J24" s="540" t="s">
        <v>166</v>
      </c>
    </row>
    <row r="25" spans="1:15" ht="15.75" thickTop="1" x14ac:dyDescent="0.2">
      <c r="F25" s="536" t="s">
        <v>234</v>
      </c>
    </row>
    <row r="26" spans="1:15" x14ac:dyDescent="0.2">
      <c r="F26" s="536" t="s">
        <v>1055</v>
      </c>
      <c r="G26" s="543"/>
      <c r="H26" s="1103">
        <v>57083.360000000001</v>
      </c>
      <c r="I26" s="543"/>
      <c r="J26" s="545"/>
    </row>
    <row r="27" spans="1:15" x14ac:dyDescent="0.2">
      <c r="F27" s="536" t="s">
        <v>191</v>
      </c>
    </row>
    <row r="28" spans="1:15" ht="15.75" thickBot="1" x14ac:dyDescent="0.25">
      <c r="G28" s="546" t="s">
        <v>232</v>
      </c>
      <c r="H28" s="1105">
        <f>SUM(H26:H27)</f>
        <v>57083.360000000001</v>
      </c>
      <c r="I28" s="546"/>
      <c r="J28" s="545"/>
      <c r="O28" s="537">
        <f>Bilans!C40-'Załącznik 10'!H28</f>
        <v>0</v>
      </c>
    </row>
    <row r="29" spans="1:15" ht="5.25" customHeight="1" x14ac:dyDescent="0.2"/>
    <row r="31" spans="1:15" ht="30.75" customHeight="1" thickBot="1" x14ac:dyDescent="0.25">
      <c r="A31" s="1685" t="s">
        <v>160</v>
      </c>
      <c r="B31" s="1685"/>
      <c r="C31" s="1685"/>
      <c r="D31" s="1685"/>
      <c r="E31" s="1685"/>
      <c r="F31" s="542"/>
      <c r="G31" s="540" t="s">
        <v>230</v>
      </c>
      <c r="H31" s="1106" t="s">
        <v>287</v>
      </c>
      <c r="I31" s="540" t="s">
        <v>261</v>
      </c>
      <c r="J31" s="540" t="s">
        <v>167</v>
      </c>
    </row>
    <row r="32" spans="1:15" ht="15.75" thickTop="1" x14ac:dyDescent="0.2">
      <c r="F32" s="536" t="s">
        <v>234</v>
      </c>
    </row>
    <row r="33" spans="1:13" x14ac:dyDescent="0.2">
      <c r="F33" s="536" t="s">
        <v>954</v>
      </c>
      <c r="G33" s="543"/>
      <c r="H33" s="1103"/>
      <c r="I33" s="543"/>
      <c r="J33" s="545"/>
    </row>
    <row r="35" spans="1:13" ht="15.75" thickBot="1" x14ac:dyDescent="0.25">
      <c r="G35" s="546" t="s">
        <v>232</v>
      </c>
      <c r="H35" s="1105"/>
      <c r="I35" s="546"/>
      <c r="J35" s="545"/>
    </row>
    <row r="36" spans="1:13" ht="6.75" customHeight="1" x14ac:dyDescent="0.2"/>
    <row r="38" spans="1:13" ht="15.75" thickBot="1" x14ac:dyDescent="0.25">
      <c r="A38" s="540" t="s">
        <v>252</v>
      </c>
      <c r="B38" s="541"/>
      <c r="C38" s="541"/>
      <c r="D38" s="541"/>
      <c r="E38" s="541"/>
      <c r="F38" s="542"/>
      <c r="G38" s="540" t="s">
        <v>230</v>
      </c>
      <c r="H38" s="1106" t="s">
        <v>287</v>
      </c>
      <c r="I38" s="540" t="s">
        <v>261</v>
      </c>
      <c r="J38" s="540" t="s">
        <v>168</v>
      </c>
    </row>
    <row r="39" spans="1:13" ht="15.75" thickTop="1" x14ac:dyDescent="0.2">
      <c r="F39" s="536" t="s">
        <v>234</v>
      </c>
    </row>
    <row r="40" spans="1:13" s="1014" customFormat="1" ht="13.9" customHeight="1" x14ac:dyDescent="0.2">
      <c r="A40" s="1013"/>
      <c r="B40" s="1013"/>
      <c r="E40" s="1013"/>
      <c r="F40" s="1020" t="s">
        <v>985</v>
      </c>
      <c r="G40" s="1019"/>
      <c r="H40" s="1107">
        <v>18017525.920000002</v>
      </c>
      <c r="I40" s="1021"/>
      <c r="J40" s="1015"/>
      <c r="M40" s="1013"/>
    </row>
    <row r="41" spans="1:13" s="1014" customFormat="1" ht="13.9" customHeight="1" x14ac:dyDescent="0.2">
      <c r="A41" s="1013"/>
      <c r="B41" s="1013"/>
      <c r="E41" s="1013"/>
      <c r="F41" s="1020" t="s">
        <v>984</v>
      </c>
      <c r="G41" s="1019"/>
      <c r="H41" s="1107">
        <v>-15465276.530000001</v>
      </c>
      <c r="I41" s="1021"/>
      <c r="J41" s="1015"/>
      <c r="M41" s="1013"/>
    </row>
    <row r="42" spans="1:13" s="1014" customFormat="1" ht="13.9" customHeight="1" x14ac:dyDescent="0.2">
      <c r="A42" s="1013"/>
      <c r="B42" s="1013"/>
      <c r="C42" s="1013"/>
      <c r="D42" s="1013"/>
      <c r="E42" s="1013"/>
      <c r="F42" s="1020" t="s">
        <v>982</v>
      </c>
      <c r="G42" s="1019"/>
      <c r="H42" s="1107">
        <v>21989917.449999999</v>
      </c>
      <c r="I42" s="1021"/>
      <c r="J42" s="1015"/>
    </row>
    <row r="43" spans="1:13" s="1014" customFormat="1" ht="13.9" customHeight="1" x14ac:dyDescent="0.2">
      <c r="A43" s="1013"/>
      <c r="B43" s="1013"/>
      <c r="C43" s="1013"/>
      <c r="D43" s="1013"/>
      <c r="E43" s="1013"/>
      <c r="F43" s="1020" t="s">
        <v>983</v>
      </c>
      <c r="G43" s="1019"/>
      <c r="H43" s="1107">
        <v>-21678373.870000001</v>
      </c>
      <c r="I43" s="1021"/>
      <c r="J43" s="1015"/>
    </row>
    <row r="44" spans="1:13" s="1014" customFormat="1" ht="13.9" customHeight="1" x14ac:dyDescent="0.2">
      <c r="A44" s="1013"/>
      <c r="B44" s="1013"/>
      <c r="C44" s="1013"/>
      <c r="D44" s="1013"/>
      <c r="E44" s="1013"/>
      <c r="F44" s="1020" t="s">
        <v>981</v>
      </c>
      <c r="G44" s="1019"/>
      <c r="H44" s="1107">
        <v>16756.64</v>
      </c>
      <c r="I44" s="1021"/>
      <c r="J44" s="1015"/>
    </row>
    <row r="45" spans="1:13" s="1014" customFormat="1" ht="13.9" customHeight="1" x14ac:dyDescent="0.2">
      <c r="A45" s="1013"/>
      <c r="B45" s="1013"/>
      <c r="C45" s="1013"/>
      <c r="D45" s="1013"/>
      <c r="E45" s="1013"/>
      <c r="F45" s="1020" t="s">
        <v>1085</v>
      </c>
      <c r="G45" s="1019"/>
      <c r="H45" s="1107">
        <v>108913</v>
      </c>
      <c r="I45" s="1021"/>
      <c r="J45" s="1015"/>
    </row>
    <row r="46" spans="1:13" s="1014" customFormat="1" ht="13.9" customHeight="1" x14ac:dyDescent="0.2">
      <c r="A46" s="1013"/>
      <c r="B46" s="1013"/>
      <c r="C46" s="1013"/>
      <c r="D46" s="1013"/>
      <c r="E46" s="1013"/>
      <c r="F46" s="1020" t="s">
        <v>980</v>
      </c>
      <c r="G46" s="1019"/>
      <c r="H46" s="1107">
        <v>1180222.02</v>
      </c>
      <c r="I46" s="1021"/>
      <c r="J46" s="1015"/>
    </row>
    <row r="47" spans="1:13" x14ac:dyDescent="0.2">
      <c r="F47" s="536" t="s">
        <v>37</v>
      </c>
      <c r="G47" s="543"/>
      <c r="H47" s="1103">
        <v>127503.23</v>
      </c>
      <c r="I47" s="543"/>
      <c r="J47" s="545"/>
      <c r="M47" s="537"/>
    </row>
    <row r="48" spans="1:13" x14ac:dyDescent="0.2">
      <c r="F48" s="544" t="s">
        <v>34</v>
      </c>
      <c r="G48" s="543"/>
      <c r="H48" s="1103"/>
      <c r="I48" s="543"/>
      <c r="J48" s="545"/>
    </row>
    <row r="49" spans="1:12" hidden="1" x14ac:dyDescent="0.2">
      <c r="F49" s="536" t="s">
        <v>244</v>
      </c>
      <c r="G49" s="543"/>
      <c r="H49" s="1103"/>
      <c r="I49" s="543"/>
      <c r="J49" s="545"/>
    </row>
    <row r="50" spans="1:12" hidden="1" x14ac:dyDescent="0.2">
      <c r="F50" s="544" t="s">
        <v>34</v>
      </c>
      <c r="G50" s="543"/>
      <c r="H50" s="1103"/>
      <c r="I50" s="543"/>
      <c r="J50" s="545"/>
    </row>
    <row r="51" spans="1:12" hidden="1" x14ac:dyDescent="0.2">
      <c r="F51" s="536" t="s">
        <v>240</v>
      </c>
      <c r="G51" s="543"/>
      <c r="H51" s="1103"/>
      <c r="I51" s="543"/>
      <c r="J51" s="545"/>
    </row>
    <row r="52" spans="1:12" hidden="1" x14ac:dyDescent="0.2">
      <c r="F52" s="544" t="s">
        <v>34</v>
      </c>
      <c r="G52" s="543"/>
      <c r="H52" s="1103"/>
      <c r="I52" s="543"/>
      <c r="J52" s="545"/>
    </row>
    <row r="53" spans="1:12" hidden="1" x14ac:dyDescent="0.2">
      <c r="F53" s="536" t="s">
        <v>38</v>
      </c>
      <c r="G53" s="543"/>
      <c r="H53" s="1103"/>
      <c r="I53" s="543"/>
      <c r="J53" s="545"/>
    </row>
    <row r="54" spans="1:12" x14ac:dyDescent="0.2">
      <c r="F54" s="544" t="s">
        <v>34</v>
      </c>
      <c r="G54" s="543"/>
      <c r="H54" s="1103"/>
      <c r="I54" s="543"/>
      <c r="J54" s="545"/>
    </row>
    <row r="55" spans="1:12" s="1014" customFormat="1" ht="13.9" customHeight="1" x14ac:dyDescent="0.2">
      <c r="A55" s="1013"/>
      <c r="B55" s="1013"/>
      <c r="C55" s="1013"/>
      <c r="D55" s="1016"/>
      <c r="E55" s="1013"/>
      <c r="F55" s="1020" t="s">
        <v>1086</v>
      </c>
      <c r="G55" s="1019"/>
      <c r="H55" s="1107">
        <v>50</v>
      </c>
      <c r="I55" s="1021"/>
      <c r="J55" s="1017"/>
      <c r="K55" s="1018"/>
      <c r="L55" s="1018"/>
    </row>
    <row r="56" spans="1:12" s="1014" customFormat="1" ht="13.9" customHeight="1" x14ac:dyDescent="0.2">
      <c r="A56" s="1013"/>
      <c r="B56" s="1013"/>
      <c r="C56" s="1013"/>
      <c r="D56" s="1013"/>
      <c r="E56" s="1013"/>
      <c r="F56" s="1020" t="s">
        <v>34</v>
      </c>
      <c r="G56" s="1019"/>
      <c r="H56" s="1107">
        <v>0</v>
      </c>
      <c r="I56" s="1021"/>
      <c r="J56" s="1017"/>
      <c r="K56" s="1018"/>
      <c r="L56" s="1018"/>
    </row>
    <row r="57" spans="1:12" s="1014" customFormat="1" ht="13.9" customHeight="1" x14ac:dyDescent="0.2">
      <c r="A57" s="1013"/>
      <c r="B57" s="1013"/>
      <c r="C57" s="1013"/>
      <c r="D57" s="1016"/>
      <c r="E57" s="1013"/>
      <c r="F57" s="1020" t="s">
        <v>1087</v>
      </c>
      <c r="G57" s="1019"/>
      <c r="H57" s="1107">
        <v>159960</v>
      </c>
      <c r="I57" s="1021"/>
      <c r="J57" s="1017"/>
      <c r="K57" s="1018"/>
      <c r="L57" s="1018"/>
    </row>
    <row r="58" spans="1:12" s="1014" customFormat="1" ht="13.9" customHeight="1" x14ac:dyDescent="0.2">
      <c r="A58" s="1013"/>
      <c r="B58" s="1013"/>
      <c r="C58" s="1013"/>
      <c r="D58" s="1013"/>
      <c r="E58" s="1013"/>
      <c r="F58" s="1020" t="s">
        <v>34</v>
      </c>
      <c r="G58" s="1019"/>
      <c r="H58" s="1107">
        <v>0</v>
      </c>
      <c r="I58" s="1021"/>
      <c r="J58" s="1017"/>
      <c r="K58" s="1018"/>
      <c r="L58" s="1018"/>
    </row>
    <row r="59" spans="1:12" s="1014" customFormat="1" ht="13.9" customHeight="1" x14ac:dyDescent="0.2">
      <c r="A59" s="1013"/>
      <c r="B59" s="1013"/>
      <c r="C59" s="1013"/>
      <c r="D59" s="1016"/>
      <c r="E59" s="1013"/>
      <c r="F59" s="1020" t="s">
        <v>1088</v>
      </c>
      <c r="G59" s="1019"/>
      <c r="H59" s="1107">
        <v>45990.42</v>
      </c>
      <c r="I59" s="1021"/>
      <c r="J59" s="1017"/>
      <c r="K59" s="1018"/>
      <c r="L59" s="1018"/>
    </row>
    <row r="60" spans="1:12" s="1014" customFormat="1" ht="13.9" customHeight="1" x14ac:dyDescent="0.2">
      <c r="A60" s="1013"/>
      <c r="B60" s="1013"/>
      <c r="C60" s="1013"/>
      <c r="D60" s="1013"/>
      <c r="E60" s="1013"/>
      <c r="F60" s="1020" t="s">
        <v>34</v>
      </c>
      <c r="G60" s="1019"/>
      <c r="H60" s="1107">
        <v>0</v>
      </c>
      <c r="I60" s="1021"/>
      <c r="J60" s="1017"/>
      <c r="K60" s="1018"/>
      <c r="L60" s="1018"/>
    </row>
    <row r="61" spans="1:12" s="1014" customFormat="1" ht="13.9" customHeight="1" x14ac:dyDescent="0.2">
      <c r="A61" s="1013"/>
      <c r="B61" s="1013"/>
      <c r="C61" s="1013"/>
      <c r="D61" s="1016"/>
      <c r="E61" s="1013"/>
      <c r="F61" s="1020" t="s">
        <v>1089</v>
      </c>
      <c r="G61" s="1019"/>
      <c r="H61" s="1107">
        <v>45243.47</v>
      </c>
      <c r="I61" s="1021"/>
      <c r="J61" s="1017"/>
      <c r="K61" s="1018"/>
      <c r="L61" s="1018"/>
    </row>
    <row r="62" spans="1:12" s="1014" customFormat="1" ht="13.9" customHeight="1" x14ac:dyDescent="0.2">
      <c r="A62" s="1013"/>
      <c r="B62" s="1013"/>
      <c r="C62" s="1013"/>
      <c r="D62" s="1013"/>
      <c r="E62" s="1013"/>
      <c r="F62" s="1020" t="s">
        <v>34</v>
      </c>
      <c r="G62" s="1019"/>
      <c r="H62" s="1107">
        <v>0</v>
      </c>
      <c r="I62" s="1021"/>
      <c r="J62" s="1017"/>
      <c r="K62" s="1018"/>
      <c r="L62" s="1018"/>
    </row>
    <row r="63" spans="1:12" s="1014" customFormat="1" ht="13.9" customHeight="1" x14ac:dyDescent="0.2">
      <c r="A63" s="1013"/>
      <c r="B63" s="1013"/>
      <c r="C63" s="1013"/>
      <c r="D63" s="1016"/>
      <c r="E63" s="1013"/>
      <c r="F63" s="1020" t="s">
        <v>979</v>
      </c>
      <c r="G63" s="1019"/>
      <c r="H63" s="1107">
        <v>0.77</v>
      </c>
      <c r="I63" s="1021"/>
      <c r="J63" s="1017"/>
      <c r="K63" s="1018"/>
      <c r="L63" s="1018"/>
    </row>
    <row r="64" spans="1:12" s="1014" customFormat="1" ht="13.9" customHeight="1" x14ac:dyDescent="0.2">
      <c r="A64" s="1013"/>
      <c r="B64" s="1013"/>
      <c r="C64" s="1013"/>
      <c r="D64" s="1013"/>
      <c r="E64" s="1013"/>
      <c r="F64" s="1020" t="s">
        <v>34</v>
      </c>
      <c r="G64" s="1019"/>
      <c r="H64" s="1107">
        <v>0</v>
      </c>
      <c r="I64" s="1021"/>
      <c r="J64" s="1017"/>
      <c r="K64" s="1018"/>
      <c r="L64" s="1018"/>
    </row>
    <row r="65" spans="1:14" s="1014" customFormat="1" ht="13.9" customHeight="1" x14ac:dyDescent="0.2">
      <c r="A65" s="1013"/>
      <c r="B65" s="1013"/>
      <c r="C65" s="1013"/>
      <c r="D65" s="1013"/>
      <c r="E65" s="1013"/>
      <c r="F65" s="1020" t="s">
        <v>978</v>
      </c>
      <c r="G65" s="1019"/>
      <c r="H65" s="1107">
        <v>508434.35</v>
      </c>
      <c r="I65" s="1021"/>
      <c r="J65" s="1017"/>
      <c r="K65" s="1018"/>
      <c r="L65" s="1018"/>
    </row>
    <row r="66" spans="1:14" s="1014" customFormat="1" ht="13.9" customHeight="1" x14ac:dyDescent="0.2">
      <c r="A66" s="1013"/>
      <c r="B66" s="1013"/>
      <c r="C66" s="1013"/>
      <c r="D66" s="1013"/>
      <c r="E66" s="1013"/>
      <c r="F66" s="1020" t="s">
        <v>34</v>
      </c>
      <c r="G66" s="1019"/>
      <c r="H66" s="1107">
        <v>0</v>
      </c>
      <c r="I66" s="1021"/>
      <c r="J66" s="1017"/>
      <c r="K66" s="1018"/>
      <c r="L66" s="1018"/>
    </row>
    <row r="67" spans="1:14" s="1253" customFormat="1" x14ac:dyDescent="0.2">
      <c r="F67" s="536" t="s">
        <v>1010</v>
      </c>
      <c r="G67" s="543"/>
      <c r="H67" s="1108">
        <v>0</v>
      </c>
      <c r="I67" s="543"/>
      <c r="J67" s="545"/>
    </row>
    <row r="68" spans="1:14" x14ac:dyDescent="0.2">
      <c r="F68" s="544" t="s">
        <v>34</v>
      </c>
      <c r="G68" s="547"/>
      <c r="H68" s="1107"/>
      <c r="I68" s="543"/>
      <c r="J68" s="545"/>
    </row>
    <row r="69" spans="1:14" hidden="1" x14ac:dyDescent="0.2">
      <c r="F69" s="536" t="s">
        <v>253</v>
      </c>
      <c r="G69" s="543"/>
      <c r="H69" s="1103"/>
      <c r="I69" s="543"/>
      <c r="J69" s="545"/>
      <c r="M69" s="1226"/>
    </row>
    <row r="70" spans="1:14" hidden="1" x14ac:dyDescent="0.2">
      <c r="F70" s="544" t="s">
        <v>34</v>
      </c>
      <c r="G70" s="543"/>
      <c r="H70" s="1103"/>
      <c r="I70" s="543"/>
      <c r="J70" s="545"/>
    </row>
    <row r="71" spans="1:14" hidden="1" x14ac:dyDescent="0.2">
      <c r="F71" s="536" t="s">
        <v>242</v>
      </c>
      <c r="G71" s="543"/>
      <c r="H71" s="1103"/>
      <c r="I71" s="543"/>
      <c r="J71" s="545"/>
    </row>
    <row r="72" spans="1:14" hidden="1" x14ac:dyDescent="0.2">
      <c r="F72" s="544" t="s">
        <v>34</v>
      </c>
      <c r="G72" s="543"/>
      <c r="H72" s="1103"/>
      <c r="I72" s="543"/>
      <c r="J72" s="545"/>
    </row>
    <row r="73" spans="1:14" x14ac:dyDescent="0.2">
      <c r="F73" s="536" t="s">
        <v>986</v>
      </c>
      <c r="G73" s="543"/>
      <c r="H73" s="1103">
        <v>2818386.73</v>
      </c>
      <c r="I73" s="543"/>
      <c r="J73" s="545"/>
    </row>
    <row r="74" spans="1:14" x14ac:dyDescent="0.2">
      <c r="F74" s="544" t="s">
        <v>977</v>
      </c>
      <c r="G74" s="543"/>
      <c r="H74" s="1103">
        <v>-2818386.73</v>
      </c>
      <c r="I74" s="543"/>
      <c r="J74" s="545"/>
    </row>
    <row r="75" spans="1:14" x14ac:dyDescent="0.2">
      <c r="F75" s="536" t="s">
        <v>1011</v>
      </c>
      <c r="G75" s="543"/>
      <c r="H75" s="1103">
        <v>10907.97</v>
      </c>
      <c r="I75" s="543"/>
      <c r="J75" s="545"/>
    </row>
    <row r="76" spans="1:14" x14ac:dyDescent="0.2">
      <c r="F76" s="544" t="s">
        <v>1034</v>
      </c>
      <c r="G76" s="543"/>
      <c r="H76" s="1103">
        <v>-10907.97</v>
      </c>
      <c r="I76" s="543"/>
      <c r="J76" s="545"/>
    </row>
    <row r="77" spans="1:14" x14ac:dyDescent="0.2">
      <c r="F77" s="536" t="s">
        <v>1012</v>
      </c>
      <c r="G77" s="543"/>
      <c r="H77" s="1103">
        <v>437006.04</v>
      </c>
      <c r="I77" s="543"/>
      <c r="J77" s="545"/>
      <c r="L77" s="537"/>
    </row>
    <row r="78" spans="1:14" x14ac:dyDescent="0.25">
      <c r="F78" s="544" t="s">
        <v>1009</v>
      </c>
      <c r="G78" s="543"/>
      <c r="H78" s="1103">
        <v>-437006.04</v>
      </c>
      <c r="I78" s="543"/>
      <c r="J78" s="545"/>
      <c r="L78" s="537"/>
      <c r="M78" s="1074"/>
      <c r="N78" s="537"/>
    </row>
    <row r="79" spans="1:14" x14ac:dyDescent="0.2">
      <c r="F79" s="536" t="s">
        <v>1013</v>
      </c>
      <c r="G79" s="543"/>
      <c r="H79" s="1103">
        <v>638.23</v>
      </c>
      <c r="I79" s="543"/>
      <c r="J79" s="545"/>
    </row>
    <row r="80" spans="1:14" x14ac:dyDescent="0.2">
      <c r="F80" s="544" t="s">
        <v>1009</v>
      </c>
      <c r="G80" s="543"/>
      <c r="H80" s="1103">
        <f>-638.23</f>
        <v>-638.23</v>
      </c>
      <c r="I80" s="543"/>
      <c r="J80" s="545"/>
    </row>
    <row r="81" spans="1:15" x14ac:dyDescent="0.2">
      <c r="F81" s="536" t="s">
        <v>39</v>
      </c>
      <c r="G81" s="543"/>
      <c r="H81" s="1103"/>
      <c r="I81" s="543"/>
      <c r="J81" s="545"/>
    </row>
    <row r="82" spans="1:15" hidden="1" x14ac:dyDescent="0.2">
      <c r="F82" s="544" t="s">
        <v>34</v>
      </c>
      <c r="G82" s="543"/>
      <c r="H82" s="1103"/>
      <c r="I82" s="543"/>
      <c r="J82" s="545"/>
    </row>
    <row r="83" spans="1:15" hidden="1" x14ac:dyDescent="0.2">
      <c r="F83" s="536" t="s">
        <v>40</v>
      </c>
      <c r="G83" s="543"/>
      <c r="H83" s="1103"/>
      <c r="I83" s="543"/>
      <c r="J83" s="545"/>
    </row>
    <row r="84" spans="1:15" hidden="1" x14ac:dyDescent="0.2">
      <c r="F84" s="544" t="s">
        <v>34</v>
      </c>
      <c r="G84" s="543"/>
      <c r="H84" s="1103"/>
      <c r="I84" s="543"/>
      <c r="J84" s="545"/>
    </row>
    <row r="85" spans="1:15" hidden="1" x14ac:dyDescent="0.2">
      <c r="F85" s="536" t="s">
        <v>41</v>
      </c>
      <c r="G85" s="543"/>
      <c r="H85" s="1103"/>
      <c r="I85" s="543"/>
      <c r="J85" s="545"/>
    </row>
    <row r="86" spans="1:15" hidden="1" x14ac:dyDescent="0.2">
      <c r="F86" s="544" t="s">
        <v>34</v>
      </c>
      <c r="G86" s="543"/>
      <c r="H86" s="1103"/>
      <c r="I86" s="543"/>
      <c r="J86" s="545"/>
    </row>
    <row r="87" spans="1:15" hidden="1" x14ac:dyDescent="0.2">
      <c r="F87" s="536" t="s">
        <v>42</v>
      </c>
      <c r="G87" s="543"/>
      <c r="H87" s="1103"/>
      <c r="I87" s="543"/>
      <c r="J87" s="545"/>
    </row>
    <row r="88" spans="1:15" x14ac:dyDescent="0.2">
      <c r="F88" s="544" t="s">
        <v>34</v>
      </c>
      <c r="G88" s="543"/>
      <c r="H88" s="1103"/>
      <c r="I88" s="543"/>
      <c r="J88" s="545"/>
    </row>
    <row r="89" spans="1:15" x14ac:dyDescent="0.2">
      <c r="F89" s="536" t="s">
        <v>989</v>
      </c>
      <c r="G89" s="543"/>
      <c r="H89" s="1103">
        <f>57834.19+91057.4+15552.67+601376.04+42575.72+610410.09</f>
        <v>1418806.1099999999</v>
      </c>
      <c r="I89" s="543"/>
      <c r="J89" s="545"/>
      <c r="M89" s="537"/>
      <c r="N89" s="537"/>
      <c r="O89" s="537"/>
    </row>
    <row r="90" spans="1:15" x14ac:dyDescent="0.2">
      <c r="F90" s="536" t="s">
        <v>1090</v>
      </c>
      <c r="G90" s="543"/>
      <c r="H90" s="1103">
        <v>728.84</v>
      </c>
      <c r="I90" s="543"/>
      <c r="J90" s="545"/>
    </row>
    <row r="91" spans="1:15" x14ac:dyDescent="0.2">
      <c r="F91" s="536" t="s">
        <v>1091</v>
      </c>
      <c r="G91" s="543"/>
      <c r="H91" s="1103">
        <f>1390199.25+39121.31</f>
        <v>1429320.56</v>
      </c>
      <c r="I91" s="543"/>
      <c r="J91" s="545"/>
      <c r="K91" s="537"/>
    </row>
    <row r="92" spans="1:15" x14ac:dyDescent="0.2">
      <c r="F92" s="544"/>
      <c r="J92" s="545"/>
    </row>
    <row r="93" spans="1:15" ht="15.75" thickBot="1" x14ac:dyDescent="0.25">
      <c r="G93" s="546" t="s">
        <v>232</v>
      </c>
      <c r="H93" s="1105">
        <f>SUM(H40:H92)</f>
        <v>7905722.3799999971</v>
      </c>
      <c r="I93" s="546"/>
      <c r="J93" s="545"/>
      <c r="L93" s="537"/>
      <c r="M93" s="537"/>
      <c r="O93" s="537">
        <f>Bilans!C42-'Załącznik 10'!H93</f>
        <v>0</v>
      </c>
    </row>
    <row r="94" spans="1:15" ht="6.75" customHeight="1" x14ac:dyDescent="0.2"/>
    <row r="96" spans="1:15" ht="30.75" customHeight="1" thickBot="1" x14ac:dyDescent="0.25">
      <c r="A96" s="1685" t="s">
        <v>249</v>
      </c>
      <c r="B96" s="1685"/>
      <c r="C96" s="1685"/>
      <c r="D96" s="1685"/>
      <c r="E96" s="1685"/>
      <c r="F96" s="542"/>
      <c r="G96" s="540" t="s">
        <v>230</v>
      </c>
      <c r="H96" s="1106" t="s">
        <v>287</v>
      </c>
      <c r="I96" s="540" t="s">
        <v>261</v>
      </c>
      <c r="J96" s="540" t="s">
        <v>169</v>
      </c>
      <c r="N96" s="537"/>
    </row>
    <row r="97" spans="1:15" ht="15.75" thickTop="1" x14ac:dyDescent="0.2">
      <c r="F97" s="536" t="s">
        <v>234</v>
      </c>
    </row>
    <row r="98" spans="1:15" x14ac:dyDescent="0.2">
      <c r="F98" s="536" t="s">
        <v>257</v>
      </c>
      <c r="G98" s="543"/>
      <c r="H98" s="1103"/>
      <c r="I98" s="543"/>
      <c r="J98" s="545"/>
    </row>
    <row r="99" spans="1:15" x14ac:dyDescent="0.2">
      <c r="F99" s="536" t="s">
        <v>258</v>
      </c>
      <c r="G99" s="543"/>
      <c r="H99" s="1103"/>
      <c r="I99" s="543"/>
      <c r="J99" s="545"/>
    </row>
    <row r="100" spans="1:15" x14ac:dyDescent="0.2">
      <c r="F100" s="536" t="s">
        <v>259</v>
      </c>
      <c r="G100" s="543"/>
      <c r="H100" s="1103"/>
      <c r="I100" s="543"/>
      <c r="J100" s="545"/>
    </row>
    <row r="101" spans="1:15" x14ac:dyDescent="0.2">
      <c r="F101" s="536" t="s">
        <v>260</v>
      </c>
      <c r="G101" s="543"/>
      <c r="H101" s="1103"/>
      <c r="I101" s="543"/>
      <c r="J101" s="545"/>
    </row>
    <row r="102" spans="1:15" ht="15.75" thickBot="1" x14ac:dyDescent="0.25">
      <c r="G102" s="546" t="s">
        <v>232</v>
      </c>
      <c r="H102" s="1105">
        <f>SUM(H98:H101)</f>
        <v>0</v>
      </c>
      <c r="I102" s="546"/>
      <c r="J102" s="545"/>
      <c r="O102" s="537">
        <f>Bilans!C43-'Załącznik 10'!H102</f>
        <v>0</v>
      </c>
    </row>
    <row r="103" spans="1:15" ht="7.5" customHeight="1" x14ac:dyDescent="0.2"/>
    <row r="105" spans="1:15" ht="15.75" thickBot="1" x14ac:dyDescent="0.25">
      <c r="A105" s="540" t="s">
        <v>236</v>
      </c>
      <c r="B105" s="541"/>
      <c r="C105" s="541"/>
      <c r="D105" s="541"/>
      <c r="E105" s="541"/>
      <c r="F105" s="542"/>
      <c r="G105" s="540" t="s">
        <v>230</v>
      </c>
      <c r="H105" s="1106" t="s">
        <v>287</v>
      </c>
      <c r="I105" s="540" t="s">
        <v>261</v>
      </c>
      <c r="J105" s="540" t="s">
        <v>170</v>
      </c>
    </row>
    <row r="106" spans="1:15" ht="15.75" thickTop="1" x14ac:dyDescent="0.2">
      <c r="F106" s="536" t="s">
        <v>234</v>
      </c>
    </row>
    <row r="107" spans="1:15" x14ac:dyDescent="0.2">
      <c r="F107" s="536" t="s">
        <v>254</v>
      </c>
      <c r="G107" s="543"/>
      <c r="H107" s="1103">
        <v>0</v>
      </c>
      <c r="I107" s="543"/>
      <c r="J107" s="545"/>
    </row>
    <row r="109" spans="1:15" ht="15.75" thickBot="1" x14ac:dyDescent="0.25">
      <c r="G109" s="546" t="s">
        <v>232</v>
      </c>
      <c r="H109" s="1105">
        <f>SUM(H107:H108)</f>
        <v>0</v>
      </c>
      <c r="I109" s="546"/>
      <c r="J109" s="545"/>
    </row>
    <row r="110" spans="1:15" ht="7.5" customHeight="1" x14ac:dyDescent="0.2"/>
    <row r="112" spans="1:15" ht="15.75" thickBot="1" x14ac:dyDescent="0.25">
      <c r="A112" s="548" t="s">
        <v>231</v>
      </c>
      <c r="B112" s="559"/>
      <c r="C112" s="559"/>
      <c r="D112" s="559"/>
      <c r="E112" s="541"/>
      <c r="F112" s="542"/>
      <c r="G112" s="540" t="s">
        <v>230</v>
      </c>
      <c r="H112" s="1106" t="s">
        <v>287</v>
      </c>
      <c r="I112" s="540" t="s">
        <v>261</v>
      </c>
      <c r="J112" s="540" t="s">
        <v>171</v>
      </c>
    </row>
    <row r="113" spans="1:10" ht="15.75" thickTop="1" x14ac:dyDescent="0.2">
      <c r="A113" s="549"/>
      <c r="B113" s="549"/>
      <c r="C113" s="549"/>
      <c r="D113" s="549"/>
      <c r="F113" s="536" t="s">
        <v>234</v>
      </c>
    </row>
    <row r="114" spans="1:10" s="1014" customFormat="1" ht="15.75" x14ac:dyDescent="0.2">
      <c r="A114" s="1022"/>
      <c r="B114" s="1022"/>
      <c r="C114" s="1013"/>
      <c r="D114" s="1013"/>
      <c r="E114" s="1013"/>
      <c r="F114" s="536" t="s">
        <v>990</v>
      </c>
      <c r="G114" s="547"/>
      <c r="H114" s="1109">
        <v>25536.82</v>
      </c>
      <c r="I114" s="547"/>
      <c r="J114" s="1015"/>
    </row>
    <row r="115" spans="1:10" s="1014" customFormat="1" x14ac:dyDescent="0.2">
      <c r="A115" s="1013"/>
      <c r="B115" s="1013"/>
      <c r="C115" s="1013"/>
      <c r="D115" s="1013"/>
      <c r="E115" s="1013"/>
      <c r="F115" s="536" t="s">
        <v>991</v>
      </c>
      <c r="G115" s="547"/>
      <c r="H115" s="1109">
        <v>93</v>
      </c>
      <c r="I115" s="547"/>
      <c r="J115" s="1023"/>
    </row>
    <row r="116" spans="1:10" s="1014" customFormat="1" x14ac:dyDescent="0.2">
      <c r="A116" s="1013"/>
      <c r="B116" s="1013"/>
      <c r="C116" s="1013"/>
      <c r="D116" s="1013"/>
      <c r="E116" s="1013"/>
      <c r="F116" s="536" t="s">
        <v>992</v>
      </c>
      <c r="G116" s="547"/>
      <c r="H116" s="1109">
        <v>6095.43</v>
      </c>
      <c r="I116" s="547"/>
      <c r="J116" s="1023"/>
    </row>
    <row r="117" spans="1:10" s="1014" customFormat="1" x14ac:dyDescent="0.2">
      <c r="A117" s="1013"/>
      <c r="B117" s="1013"/>
      <c r="C117" s="1013"/>
      <c r="D117" s="1013"/>
      <c r="E117" s="1013"/>
      <c r="F117" s="536" t="s">
        <v>993</v>
      </c>
      <c r="G117" s="547"/>
      <c r="H117" s="1109">
        <v>7334.07</v>
      </c>
      <c r="I117" s="547"/>
      <c r="J117" s="1023"/>
    </row>
    <row r="118" spans="1:10" s="1014" customFormat="1" x14ac:dyDescent="0.2">
      <c r="A118" s="1013"/>
      <c r="B118" s="1013"/>
      <c r="C118" s="1013"/>
      <c r="D118" s="1013"/>
      <c r="E118" s="1013"/>
      <c r="F118" s="536" t="s">
        <v>994</v>
      </c>
      <c r="G118" s="547"/>
      <c r="H118" s="1109">
        <v>0</v>
      </c>
      <c r="I118" s="547"/>
      <c r="J118" s="1023"/>
    </row>
    <row r="119" spans="1:10" x14ac:dyDescent="0.2">
      <c r="F119" s="536" t="s">
        <v>70</v>
      </c>
      <c r="G119" s="547"/>
      <c r="H119" s="1109"/>
      <c r="I119" s="547"/>
      <c r="J119" s="550"/>
    </row>
    <row r="120" spans="1:10" x14ac:dyDescent="0.2">
      <c r="F120" s="536" t="s">
        <v>71</v>
      </c>
      <c r="G120" s="547"/>
      <c r="H120" s="1109"/>
      <c r="I120" s="547"/>
      <c r="J120" s="550"/>
    </row>
    <row r="121" spans="1:10" x14ac:dyDescent="0.2">
      <c r="F121" s="536" t="s">
        <v>72</v>
      </c>
      <c r="G121" s="547"/>
      <c r="H121" s="1109"/>
      <c r="I121" s="547"/>
      <c r="J121" s="550"/>
    </row>
    <row r="122" spans="1:10" x14ac:dyDescent="0.2">
      <c r="F122" s="536" t="s">
        <v>73</v>
      </c>
      <c r="G122" s="547"/>
      <c r="H122" s="1109"/>
      <c r="I122" s="547"/>
      <c r="J122" s="550"/>
    </row>
    <row r="123" spans="1:10" x14ac:dyDescent="0.2">
      <c r="F123" s="536" t="s">
        <v>74</v>
      </c>
      <c r="G123" s="547"/>
      <c r="H123" s="1109"/>
      <c r="I123" s="547"/>
      <c r="J123" s="550"/>
    </row>
    <row r="124" spans="1:10" x14ac:dyDescent="0.2">
      <c r="F124" s="536" t="s">
        <v>75</v>
      </c>
      <c r="G124" s="547"/>
      <c r="H124" s="1109"/>
      <c r="I124" s="547"/>
      <c r="J124" s="550"/>
    </row>
    <row r="125" spans="1:10" s="1253" customFormat="1" x14ac:dyDescent="0.2">
      <c r="F125" s="536" t="s">
        <v>1078</v>
      </c>
      <c r="G125" s="547"/>
      <c r="H125" s="1109">
        <v>730</v>
      </c>
      <c r="I125" s="547"/>
    </row>
    <row r="126" spans="1:10" x14ac:dyDescent="0.2">
      <c r="F126" s="536" t="s">
        <v>1079</v>
      </c>
      <c r="G126" s="547"/>
      <c r="H126" s="1109">
        <v>3818</v>
      </c>
      <c r="I126" s="547"/>
    </row>
    <row r="127" spans="1:10" s="1253" customFormat="1" x14ac:dyDescent="0.2">
      <c r="F127" s="536" t="s">
        <v>1081</v>
      </c>
      <c r="G127" s="547"/>
      <c r="H127" s="1109">
        <v>20000</v>
      </c>
      <c r="I127" s="547"/>
    </row>
    <row r="128" spans="1:10" x14ac:dyDescent="0.2">
      <c r="F128" s="536" t="s">
        <v>1082</v>
      </c>
      <c r="G128" s="547"/>
      <c r="H128" s="1109"/>
      <c r="I128" s="547"/>
    </row>
    <row r="130" spans="1:15" ht="15.75" thickBot="1" x14ac:dyDescent="0.25">
      <c r="G130" s="546" t="s">
        <v>232</v>
      </c>
      <c r="H130" s="1105">
        <f>SUM(H114:H129)</f>
        <v>63607.32</v>
      </c>
      <c r="I130" s="546"/>
      <c r="J130" s="545"/>
      <c r="L130" s="537"/>
      <c r="M130" s="537"/>
      <c r="O130" s="537">
        <f>Bilans!C46-'Załącznik 10'!H130</f>
        <v>0</v>
      </c>
    </row>
    <row r="131" spans="1:15" ht="8.25" customHeight="1" x14ac:dyDescent="0.2"/>
    <row r="133" spans="1:15" ht="30" customHeight="1" thickBot="1" x14ac:dyDescent="0.25">
      <c r="A133" s="1685" t="s">
        <v>162</v>
      </c>
      <c r="B133" s="1685"/>
      <c r="C133" s="1685"/>
      <c r="D133" s="1685"/>
      <c r="E133" s="1685"/>
      <c r="F133" s="542"/>
      <c r="G133" s="540" t="s">
        <v>230</v>
      </c>
      <c r="H133" s="1106" t="s">
        <v>287</v>
      </c>
      <c r="I133" s="540" t="s">
        <v>261</v>
      </c>
      <c r="J133" s="540" t="s">
        <v>172</v>
      </c>
    </row>
    <row r="134" spans="1:15" ht="15.75" thickTop="1" x14ac:dyDescent="0.2">
      <c r="F134" s="536" t="s">
        <v>234</v>
      </c>
    </row>
    <row r="135" spans="1:15" x14ac:dyDescent="0.2">
      <c r="F135" s="536" t="s">
        <v>73</v>
      </c>
      <c r="G135" s="543"/>
      <c r="H135" s="1103"/>
      <c r="I135" s="543"/>
      <c r="J135" s="545"/>
    </row>
    <row r="137" spans="1:15" ht="15.75" thickBot="1" x14ac:dyDescent="0.25">
      <c r="G137" s="546" t="s">
        <v>232</v>
      </c>
      <c r="H137" s="1105"/>
      <c r="I137" s="546"/>
      <c r="J137" s="545"/>
    </row>
    <row r="138" spans="1:15" ht="8.25" customHeight="1" x14ac:dyDescent="0.2"/>
    <row r="139" spans="1:15" ht="15.75" thickBot="1" x14ac:dyDescent="0.25">
      <c r="A139" s="540" t="s">
        <v>233</v>
      </c>
      <c r="B139" s="541"/>
      <c r="C139" s="541"/>
      <c r="D139" s="541"/>
      <c r="E139" s="541"/>
      <c r="F139" s="542"/>
      <c r="G139" s="540" t="s">
        <v>230</v>
      </c>
      <c r="H139" s="1106" t="s">
        <v>287</v>
      </c>
      <c r="I139" s="540" t="s">
        <v>261</v>
      </c>
      <c r="J139" s="540" t="s">
        <v>173</v>
      </c>
    </row>
    <row r="140" spans="1:15" ht="15.75" thickTop="1" x14ac:dyDescent="0.2">
      <c r="F140" s="536" t="s">
        <v>234</v>
      </c>
    </row>
    <row r="141" spans="1:15" s="1014" customFormat="1" x14ac:dyDescent="0.2">
      <c r="A141" s="1013"/>
      <c r="B141" s="1013"/>
      <c r="C141" s="1013"/>
      <c r="D141" s="1013"/>
      <c r="E141" s="1013"/>
      <c r="F141" s="536" t="s">
        <v>1014</v>
      </c>
      <c r="G141" s="539"/>
      <c r="H141" s="1104">
        <v>49082988.5</v>
      </c>
      <c r="I141" s="547"/>
    </row>
    <row r="142" spans="1:15" s="1014" customFormat="1" x14ac:dyDescent="0.2">
      <c r="A142" s="1013"/>
      <c r="B142" s="1013"/>
      <c r="C142" s="1013"/>
      <c r="D142" s="1013"/>
      <c r="E142" s="1013"/>
      <c r="F142" s="536" t="s">
        <v>1056</v>
      </c>
      <c r="G142" s="547"/>
      <c r="H142" s="1109">
        <v>24043.23</v>
      </c>
      <c r="I142" s="547"/>
    </row>
    <row r="143" spans="1:15" s="1253" customFormat="1" x14ac:dyDescent="0.2">
      <c r="F143" s="536" t="s">
        <v>1080</v>
      </c>
      <c r="G143" s="547"/>
      <c r="H143" s="1109">
        <v>24010</v>
      </c>
      <c r="I143" s="547"/>
      <c r="J143" s="545"/>
    </row>
    <row r="144" spans="1:15" x14ac:dyDescent="0.2">
      <c r="F144" s="536" t="s">
        <v>235</v>
      </c>
      <c r="G144" s="543"/>
      <c r="H144" s="1103"/>
      <c r="I144" s="543"/>
      <c r="J144" s="545"/>
    </row>
    <row r="145" spans="1:15" x14ac:dyDescent="0.2">
      <c r="F145" s="536" t="s">
        <v>192</v>
      </c>
    </row>
    <row r="146" spans="1:15" ht="15.75" thickBot="1" x14ac:dyDescent="0.25">
      <c r="G146" s="546" t="s">
        <v>232</v>
      </c>
      <c r="H146" s="1105">
        <f>SUM(H141:H145)</f>
        <v>49131041.729999997</v>
      </c>
      <c r="I146" s="546"/>
      <c r="J146" s="545"/>
      <c r="L146" s="537"/>
      <c r="M146" s="537"/>
      <c r="O146" s="537">
        <f>Bilans!C48-'Załącznik 10'!H146</f>
        <v>0</v>
      </c>
    </row>
    <row r="147" spans="1:15" ht="8.25" customHeight="1" x14ac:dyDescent="0.2"/>
    <row r="149" spans="1:15" ht="15.75" thickBot="1" x14ac:dyDescent="0.25">
      <c r="A149" s="540" t="s">
        <v>93</v>
      </c>
      <c r="B149" s="541"/>
      <c r="C149" s="541"/>
      <c r="D149" s="541"/>
      <c r="E149" s="541"/>
      <c r="F149" s="542"/>
      <c r="G149" s="540" t="s">
        <v>230</v>
      </c>
      <c r="H149" s="1106" t="s">
        <v>287</v>
      </c>
      <c r="I149" s="540" t="s">
        <v>261</v>
      </c>
      <c r="J149" s="540" t="s">
        <v>174</v>
      </c>
    </row>
    <row r="150" spans="1:15" ht="15.75" thickTop="1" x14ac:dyDescent="0.2">
      <c r="F150" s="536" t="s">
        <v>234</v>
      </c>
    </row>
    <row r="151" spans="1:15" x14ac:dyDescent="0.2">
      <c r="F151" s="536" t="s">
        <v>235</v>
      </c>
      <c r="G151" s="543"/>
      <c r="H151" s="1103"/>
      <c r="I151" s="543"/>
      <c r="J151" s="545"/>
    </row>
    <row r="153" spans="1:15" ht="15.75" thickBot="1" x14ac:dyDescent="0.25">
      <c r="G153" s="546" t="s">
        <v>232</v>
      </c>
      <c r="H153" s="1105"/>
      <c r="I153" s="546"/>
      <c r="J153" s="545"/>
    </row>
    <row r="154" spans="1:15" ht="8.25" customHeight="1" x14ac:dyDescent="0.2"/>
    <row r="156" spans="1:15" ht="8.25" customHeight="1" x14ac:dyDescent="0.2"/>
    <row r="157" spans="1:15" ht="15.75" thickBot="1" x14ac:dyDescent="0.25">
      <c r="A157" s="540" t="s">
        <v>161</v>
      </c>
      <c r="B157" s="541"/>
      <c r="C157" s="541"/>
      <c r="D157" s="541"/>
      <c r="E157" s="541"/>
      <c r="F157" s="542"/>
      <c r="G157" s="540" t="s">
        <v>230</v>
      </c>
      <c r="H157" s="1106" t="s">
        <v>287</v>
      </c>
      <c r="I157" s="540" t="s">
        <v>261</v>
      </c>
      <c r="J157" s="540" t="s">
        <v>175</v>
      </c>
    </row>
    <row r="158" spans="1:15" ht="16.5" customHeight="1" thickTop="1" x14ac:dyDescent="0.2">
      <c r="F158" s="536" t="s">
        <v>234</v>
      </c>
    </row>
    <row r="159" spans="1:15" x14ac:dyDescent="0.2">
      <c r="F159" s="536" t="s">
        <v>235</v>
      </c>
      <c r="G159" s="543"/>
      <c r="H159" s="1103"/>
      <c r="I159" s="543"/>
      <c r="J159" s="545"/>
    </row>
    <row r="161" spans="1:15" ht="15.75" thickBot="1" x14ac:dyDescent="0.25">
      <c r="G161" s="546" t="s">
        <v>232</v>
      </c>
      <c r="H161" s="1105"/>
      <c r="I161" s="546"/>
      <c r="J161" s="545"/>
    </row>
    <row r="162" spans="1:15" ht="8.25" customHeight="1" x14ac:dyDescent="0.2"/>
    <row r="163" spans="1:15" ht="12.75" customHeight="1" x14ac:dyDescent="0.2"/>
    <row r="164" spans="1:15" ht="15.75" thickBot="1" x14ac:dyDescent="0.25">
      <c r="A164" s="540" t="s">
        <v>296</v>
      </c>
      <c r="B164" s="541"/>
      <c r="C164" s="541"/>
      <c r="D164" s="541"/>
      <c r="E164" s="541"/>
      <c r="F164" s="542"/>
      <c r="G164" s="540" t="s">
        <v>230</v>
      </c>
      <c r="H164" s="1106" t="s">
        <v>287</v>
      </c>
      <c r="I164" s="540" t="s">
        <v>261</v>
      </c>
      <c r="J164" s="540" t="s">
        <v>176</v>
      </c>
    </row>
    <row r="165" spans="1:15" ht="15.75" thickTop="1" x14ac:dyDescent="0.2">
      <c r="F165" s="536" t="s">
        <v>234</v>
      </c>
    </row>
    <row r="166" spans="1:15" x14ac:dyDescent="0.2">
      <c r="F166" s="536" t="s">
        <v>235</v>
      </c>
      <c r="G166" s="543"/>
      <c r="H166" s="1103"/>
      <c r="I166" s="543"/>
      <c r="J166" s="545"/>
    </row>
    <row r="168" spans="1:15" ht="15.75" thickBot="1" x14ac:dyDescent="0.25">
      <c r="G168" s="546" t="s">
        <v>232</v>
      </c>
      <c r="H168" s="1105"/>
      <c r="I168" s="546"/>
      <c r="J168" s="545"/>
    </row>
    <row r="169" spans="1:15" ht="6" customHeight="1" x14ac:dyDescent="0.2"/>
    <row r="171" spans="1:15" ht="15.75" thickBot="1" x14ac:dyDescent="0.25">
      <c r="A171" s="540" t="s">
        <v>163</v>
      </c>
      <c r="B171" s="541"/>
      <c r="C171" s="541"/>
      <c r="D171" s="541"/>
      <c r="E171" s="541"/>
      <c r="F171" s="542"/>
      <c r="G171" s="540" t="s">
        <v>230</v>
      </c>
      <c r="H171" s="1106" t="s">
        <v>287</v>
      </c>
      <c r="I171" s="540" t="s">
        <v>261</v>
      </c>
      <c r="J171" s="540" t="s">
        <v>246</v>
      </c>
    </row>
    <row r="172" spans="1:15" ht="15.75" thickTop="1" x14ac:dyDescent="0.2">
      <c r="F172" s="536" t="s">
        <v>234</v>
      </c>
    </row>
    <row r="173" spans="1:15" x14ac:dyDescent="0.2">
      <c r="F173" s="536" t="s">
        <v>256</v>
      </c>
      <c r="G173" s="543"/>
      <c r="H173" s="1103">
        <v>44888.88</v>
      </c>
      <c r="I173" s="543"/>
      <c r="J173" s="545"/>
    </row>
    <row r="175" spans="1:15" ht="15.75" thickBot="1" x14ac:dyDescent="0.25">
      <c r="G175" s="546" t="s">
        <v>232</v>
      </c>
      <c r="H175" s="1105">
        <f>SUM(H173:H174)</f>
        <v>44888.88</v>
      </c>
      <c r="I175" s="546"/>
      <c r="J175" s="545"/>
      <c r="O175" s="537">
        <f>Bilans!C52-'Załącznik 10'!H175</f>
        <v>0</v>
      </c>
    </row>
    <row r="176" spans="1:15" ht="23.25" customHeight="1" x14ac:dyDescent="0.2"/>
    <row r="177" spans="1:15" x14ac:dyDescent="0.2">
      <c r="E177" s="538" t="s">
        <v>238</v>
      </c>
    </row>
    <row r="178" spans="1:15" ht="23.25" customHeight="1" x14ac:dyDescent="0.2">
      <c r="A178" s="538" t="s">
        <v>164</v>
      </c>
    </row>
    <row r="179" spans="1:15" ht="12.75" customHeight="1" x14ac:dyDescent="0.2">
      <c r="E179" s="538"/>
    </row>
    <row r="180" spans="1:15" ht="15.75" thickBot="1" x14ac:dyDescent="0.25">
      <c r="A180" s="540" t="s">
        <v>255</v>
      </c>
      <c r="B180" s="541"/>
      <c r="C180" s="541"/>
      <c r="D180" s="541"/>
      <c r="E180" s="541"/>
      <c r="F180" s="542"/>
      <c r="G180" s="540" t="s">
        <v>238</v>
      </c>
      <c r="H180" s="1106"/>
      <c r="I180" s="540" t="s">
        <v>261</v>
      </c>
      <c r="J180" s="540" t="s">
        <v>628</v>
      </c>
    </row>
    <row r="181" spans="1:15" ht="15.75" thickTop="1" x14ac:dyDescent="0.2">
      <c r="F181" s="536" t="s">
        <v>234</v>
      </c>
    </row>
    <row r="182" spans="1:15" x14ac:dyDescent="0.2">
      <c r="F182" s="536" t="s">
        <v>1083</v>
      </c>
      <c r="G182" s="543"/>
      <c r="H182" s="1103">
        <v>3430755.08</v>
      </c>
      <c r="I182" s="543"/>
      <c r="J182" s="545"/>
    </row>
    <row r="183" spans="1:15" x14ac:dyDescent="0.2">
      <c r="F183" s="536" t="s">
        <v>1084</v>
      </c>
      <c r="G183" s="543"/>
      <c r="H183" s="1103">
        <v>0.77</v>
      </c>
      <c r="I183" s="543"/>
      <c r="J183" s="545"/>
    </row>
    <row r="184" spans="1:15" x14ac:dyDescent="0.2">
      <c r="F184" s="536" t="s">
        <v>191</v>
      </c>
    </row>
    <row r="185" spans="1:15" ht="15.75" thickBot="1" x14ac:dyDescent="0.25">
      <c r="G185" s="546" t="s">
        <v>232</v>
      </c>
      <c r="H185" s="1105">
        <f>SUM(H182:H184)</f>
        <v>3430755.85</v>
      </c>
      <c r="I185" s="546"/>
      <c r="J185" s="545"/>
      <c r="L185" s="537"/>
      <c r="O185" s="537">
        <f>Bilans!F26-'Załącznik 10'!H185</f>
        <v>0</v>
      </c>
    </row>
    <row r="186" spans="1:15" ht="6" customHeight="1" x14ac:dyDescent="0.2"/>
    <row r="187" spans="1:15" ht="20.25" customHeight="1" x14ac:dyDescent="0.2"/>
    <row r="188" spans="1:15" ht="15.75" thickBot="1" x14ac:dyDescent="0.25">
      <c r="A188" s="540" t="s">
        <v>237</v>
      </c>
      <c r="B188" s="541"/>
      <c r="C188" s="541"/>
      <c r="D188" s="541"/>
      <c r="E188" s="541"/>
      <c r="F188" s="542"/>
      <c r="G188" s="540" t="s">
        <v>238</v>
      </c>
      <c r="H188" s="1106"/>
      <c r="I188" s="540" t="s">
        <v>261</v>
      </c>
      <c r="J188" s="540" t="s">
        <v>629</v>
      </c>
    </row>
    <row r="189" spans="1:15" ht="15.75" thickTop="1" x14ac:dyDescent="0.2">
      <c r="F189" s="536" t="s">
        <v>234</v>
      </c>
    </row>
    <row r="190" spans="1:15" x14ac:dyDescent="0.2">
      <c r="F190" s="536" t="s">
        <v>1057</v>
      </c>
      <c r="G190" s="543"/>
      <c r="H190" s="1103">
        <v>210085</v>
      </c>
      <c r="I190" s="543"/>
      <c r="J190" s="545"/>
    </row>
    <row r="192" spans="1:15" ht="15.75" thickBot="1" x14ac:dyDescent="0.25">
      <c r="G192" s="546" t="s">
        <v>232</v>
      </c>
      <c r="H192" s="1105">
        <f>SUM(H190:H191)</f>
        <v>210085</v>
      </c>
      <c r="I192" s="546"/>
      <c r="J192" s="545"/>
      <c r="O192" s="537">
        <f>Bilans!F27-'Załącznik 10'!H192</f>
        <v>0</v>
      </c>
    </row>
    <row r="194" spans="1:15" ht="8.25" customHeight="1" x14ac:dyDescent="0.2"/>
    <row r="195" spans="1:15" ht="30" customHeight="1" thickBot="1" x14ac:dyDescent="0.25">
      <c r="A195" s="1685" t="s">
        <v>177</v>
      </c>
      <c r="B195" s="1685"/>
      <c r="C195" s="1685"/>
      <c r="D195" s="1685"/>
      <c r="E195" s="1685"/>
      <c r="F195" s="542"/>
      <c r="G195" s="540" t="s">
        <v>238</v>
      </c>
      <c r="H195" s="1106"/>
      <c r="I195" s="540" t="s">
        <v>261</v>
      </c>
      <c r="J195" s="540" t="s">
        <v>630</v>
      </c>
    </row>
    <row r="196" spans="1:15" ht="15.75" thickTop="1" x14ac:dyDescent="0.2">
      <c r="F196" s="536" t="s">
        <v>234</v>
      </c>
    </row>
    <row r="197" spans="1:15" x14ac:dyDescent="0.2">
      <c r="F197" s="536" t="s">
        <v>251</v>
      </c>
      <c r="G197" s="543"/>
      <c r="H197" s="1103">
        <v>1266159.04</v>
      </c>
      <c r="I197" s="543"/>
      <c r="J197" s="545"/>
    </row>
    <row r="199" spans="1:15" ht="15.75" thickBot="1" x14ac:dyDescent="0.25">
      <c r="G199" s="546" t="s">
        <v>232</v>
      </c>
      <c r="H199" s="1105">
        <f>SUM(H197:H198)</f>
        <v>1266159.04</v>
      </c>
      <c r="I199" s="546"/>
      <c r="J199" s="545"/>
      <c r="O199" s="537">
        <f>Bilans!F28-'Załącznik 10'!H199</f>
        <v>0</v>
      </c>
    </row>
    <row r="201" spans="1:15" ht="7.5" customHeight="1" x14ac:dyDescent="0.2"/>
    <row r="202" spans="1:15" ht="15.75" thickBot="1" x14ac:dyDescent="0.25">
      <c r="A202" s="540" t="s">
        <v>239</v>
      </c>
      <c r="B202" s="541"/>
      <c r="C202" s="541"/>
      <c r="D202" s="541"/>
      <c r="E202" s="541"/>
      <c r="F202" s="542"/>
      <c r="G202" s="540" t="s">
        <v>238</v>
      </c>
      <c r="H202" s="1106"/>
      <c r="I202" s="540" t="s">
        <v>261</v>
      </c>
      <c r="J202" s="540" t="s">
        <v>631</v>
      </c>
    </row>
    <row r="203" spans="1:15" ht="15.75" thickTop="1" x14ac:dyDescent="0.2">
      <c r="F203" s="536" t="s">
        <v>234</v>
      </c>
    </row>
    <row r="204" spans="1:15" x14ac:dyDescent="0.2">
      <c r="F204" s="536" t="s">
        <v>1058</v>
      </c>
      <c r="G204" s="543"/>
      <c r="H204" s="1103">
        <v>2149563.15</v>
      </c>
      <c r="I204" s="543"/>
      <c r="J204" s="545"/>
    </row>
    <row r="205" spans="1:15" x14ac:dyDescent="0.2">
      <c r="F205" s="536" t="s">
        <v>244</v>
      </c>
      <c r="G205" s="547"/>
      <c r="H205" s="1109"/>
      <c r="I205" s="547"/>
      <c r="J205" s="550"/>
    </row>
    <row r="207" spans="1:15" ht="15.75" thickBot="1" x14ac:dyDescent="0.25">
      <c r="G207" s="546" t="s">
        <v>232</v>
      </c>
      <c r="H207" s="1105">
        <f>SUM(H204:H206)</f>
        <v>2149563.15</v>
      </c>
      <c r="I207" s="546"/>
      <c r="J207" s="545"/>
      <c r="O207" s="537">
        <f>Bilans!F29-'Załącznik 10'!H207</f>
        <v>0</v>
      </c>
    </row>
    <row r="209" spans="1:14" ht="6.75" customHeight="1" x14ac:dyDescent="0.2"/>
    <row r="210" spans="1:14" ht="15.75" thickBot="1" x14ac:dyDescent="0.25">
      <c r="A210" s="540" t="s">
        <v>241</v>
      </c>
      <c r="B210" s="541"/>
      <c r="C210" s="541"/>
      <c r="D210" s="541"/>
      <c r="E210" s="541"/>
      <c r="F210" s="542"/>
      <c r="G210" s="540" t="s">
        <v>238</v>
      </c>
      <c r="H210" s="1106"/>
      <c r="I210" s="540" t="s">
        <v>261</v>
      </c>
      <c r="J210" s="540" t="s">
        <v>632</v>
      </c>
    </row>
    <row r="211" spans="1:14" ht="15.75" thickTop="1" x14ac:dyDescent="0.2">
      <c r="F211" s="536" t="s">
        <v>234</v>
      </c>
    </row>
    <row r="212" spans="1:14" s="700" customFormat="1" x14ac:dyDescent="0.2">
      <c r="A212" s="704"/>
      <c r="B212" s="704"/>
      <c r="C212" s="704"/>
      <c r="D212" s="704"/>
      <c r="E212" s="704"/>
      <c r="F212" s="536" t="s">
        <v>995</v>
      </c>
      <c r="G212" s="702"/>
      <c r="H212" s="1103">
        <v>1064619.3999999999</v>
      </c>
      <c r="I212" s="701"/>
      <c r="J212" s="703"/>
      <c r="N212" s="704"/>
    </row>
    <row r="213" spans="1:14" s="700" customFormat="1" x14ac:dyDescent="0.2">
      <c r="A213" s="704"/>
      <c r="B213" s="704"/>
      <c r="C213" s="704"/>
      <c r="D213" s="704"/>
      <c r="E213" s="704"/>
      <c r="F213" s="536" t="s">
        <v>996</v>
      </c>
      <c r="G213" s="702"/>
      <c r="H213" s="1109">
        <v>728.84</v>
      </c>
      <c r="I213" s="701"/>
      <c r="J213" s="703"/>
    </row>
    <row r="214" spans="1:14" s="700" customFormat="1" x14ac:dyDescent="0.2">
      <c r="A214" s="704"/>
      <c r="B214" s="704"/>
      <c r="C214" s="704"/>
      <c r="D214" s="704"/>
      <c r="E214" s="704"/>
      <c r="F214" s="536" t="s">
        <v>997</v>
      </c>
      <c r="G214" s="702"/>
      <c r="H214" s="1109">
        <v>1390199.25</v>
      </c>
      <c r="I214" s="701"/>
      <c r="J214" s="703"/>
    </row>
    <row r="215" spans="1:14" s="1253" customFormat="1" x14ac:dyDescent="0.2">
      <c r="F215" s="536" t="s">
        <v>240</v>
      </c>
      <c r="G215" s="543"/>
      <c r="H215" s="1103"/>
      <c r="I215" s="543"/>
      <c r="J215" s="545"/>
    </row>
    <row r="216" spans="1:14" s="1253" customFormat="1" x14ac:dyDescent="0.2">
      <c r="F216" s="536" t="s">
        <v>38</v>
      </c>
      <c r="G216" s="543"/>
      <c r="H216" s="1103"/>
      <c r="I216" s="543"/>
      <c r="J216" s="545"/>
    </row>
    <row r="217" spans="1:14" s="1253" customFormat="1" x14ac:dyDescent="0.2">
      <c r="F217" s="536" t="s">
        <v>1092</v>
      </c>
      <c r="G217" s="547"/>
      <c r="H217" s="1109">
        <v>50</v>
      </c>
      <c r="I217" s="547"/>
      <c r="J217" s="550"/>
    </row>
    <row r="218" spans="1:14" s="1253" customFormat="1" x14ac:dyDescent="0.2">
      <c r="F218" s="536" t="s">
        <v>1093</v>
      </c>
      <c r="G218" s="547"/>
      <c r="H218" s="1109">
        <v>1512.59</v>
      </c>
      <c r="I218" s="547"/>
      <c r="J218" s="550"/>
    </row>
    <row r="219" spans="1:14" s="1253" customFormat="1" x14ac:dyDescent="0.2">
      <c r="F219" s="536" t="s">
        <v>1094</v>
      </c>
      <c r="G219" s="547"/>
      <c r="H219" s="1109">
        <v>163742.6</v>
      </c>
      <c r="I219" s="547"/>
      <c r="J219" s="550"/>
    </row>
    <row r="220" spans="1:14" s="1253" customFormat="1" x14ac:dyDescent="0.2">
      <c r="F220" s="536" t="s">
        <v>1095</v>
      </c>
      <c r="G220" s="547"/>
      <c r="H220" s="1109">
        <v>209.6</v>
      </c>
      <c r="I220" s="547"/>
      <c r="J220" s="550"/>
    </row>
    <row r="221" spans="1:14" s="1253" customFormat="1" x14ac:dyDescent="0.2">
      <c r="F221" s="536" t="s">
        <v>1096</v>
      </c>
      <c r="G221" s="547"/>
      <c r="H221" s="1109">
        <v>46551.06</v>
      </c>
      <c r="I221" s="547"/>
      <c r="J221" s="550"/>
    </row>
    <row r="222" spans="1:14" s="1253" customFormat="1" x14ac:dyDescent="0.2">
      <c r="F222" s="536" t="s">
        <v>1097</v>
      </c>
      <c r="G222" s="547"/>
      <c r="H222" s="1109">
        <v>45243.47</v>
      </c>
      <c r="I222" s="547"/>
      <c r="J222" s="550"/>
    </row>
    <row r="223" spans="1:14" s="1253" customFormat="1" x14ac:dyDescent="0.2">
      <c r="F223" s="536" t="s">
        <v>907</v>
      </c>
      <c r="G223" s="547"/>
      <c r="H223" s="1109">
        <v>69</v>
      </c>
      <c r="I223" s="547"/>
      <c r="J223" s="550"/>
    </row>
    <row r="224" spans="1:14" s="1253" customFormat="1" x14ac:dyDescent="0.2">
      <c r="F224" s="536" t="s">
        <v>998</v>
      </c>
      <c r="G224" s="547"/>
      <c r="H224" s="1109">
        <v>24740</v>
      </c>
      <c r="I224" s="547"/>
      <c r="J224" s="550"/>
    </row>
    <row r="225" spans="6:14" x14ac:dyDescent="0.2">
      <c r="F225" s="536" t="s">
        <v>925</v>
      </c>
      <c r="G225" s="547"/>
      <c r="H225" s="1109"/>
      <c r="I225" s="547"/>
      <c r="J225" s="550"/>
    </row>
    <row r="226" spans="6:14" x14ac:dyDescent="0.2">
      <c r="F226" s="536" t="s">
        <v>1015</v>
      </c>
      <c r="G226" s="547"/>
      <c r="H226" s="1109">
        <v>8391.2099999999991</v>
      </c>
      <c r="I226" s="547"/>
      <c r="J226" s="550"/>
    </row>
    <row r="227" spans="6:14" x14ac:dyDescent="0.2">
      <c r="F227" s="536" t="s">
        <v>1016</v>
      </c>
      <c r="G227" s="547"/>
      <c r="H227" s="1109"/>
      <c r="I227" s="547"/>
      <c r="J227" s="550"/>
    </row>
    <row r="228" spans="6:14" x14ac:dyDescent="0.2">
      <c r="F228" s="536" t="s">
        <v>1017</v>
      </c>
      <c r="G228" s="547"/>
      <c r="H228" s="1109">
        <v>351.75</v>
      </c>
      <c r="I228" s="547"/>
      <c r="J228" s="550"/>
    </row>
    <row r="229" spans="6:14" s="1253" customFormat="1" x14ac:dyDescent="0.2">
      <c r="F229" s="536" t="s">
        <v>1100</v>
      </c>
      <c r="G229" s="547"/>
      <c r="H229" s="1301">
        <v>0</v>
      </c>
      <c r="I229" s="547"/>
      <c r="J229" s="550"/>
    </row>
    <row r="230" spans="6:14" s="1253" customFormat="1" x14ac:dyDescent="0.2">
      <c r="F230" s="536" t="s">
        <v>1101</v>
      </c>
      <c r="G230" s="547"/>
      <c r="H230" s="1301">
        <v>0</v>
      </c>
      <c r="I230" s="547"/>
      <c r="J230" s="550"/>
    </row>
    <row r="231" spans="6:14" s="1246" customFormat="1" x14ac:dyDescent="0.2">
      <c r="F231" s="536" t="s">
        <v>1010</v>
      </c>
      <c r="G231" s="547"/>
      <c r="H231" s="1273"/>
      <c r="I231" s="547"/>
      <c r="J231" s="550"/>
    </row>
    <row r="232" spans="6:14" s="1246" customFormat="1" x14ac:dyDescent="0.2">
      <c r="F232" s="536" t="s">
        <v>1059</v>
      </c>
      <c r="G232" s="547"/>
      <c r="H232" s="1109">
        <v>76446.720000000001</v>
      </c>
      <c r="I232" s="547"/>
      <c r="J232" s="550"/>
    </row>
    <row r="233" spans="6:14" x14ac:dyDescent="0.2">
      <c r="F233" s="536" t="s">
        <v>253</v>
      </c>
      <c r="G233" s="543"/>
      <c r="H233" s="1103"/>
      <c r="I233" s="543"/>
      <c r="J233" s="545"/>
    </row>
    <row r="234" spans="6:14" x14ac:dyDescent="0.2">
      <c r="F234" s="536" t="s">
        <v>1001</v>
      </c>
      <c r="G234" s="543"/>
      <c r="H234" s="1103">
        <v>39121.31</v>
      </c>
      <c r="I234" s="543"/>
      <c r="J234" s="545"/>
    </row>
    <row r="235" spans="6:14" x14ac:dyDescent="0.2">
      <c r="F235" s="536" t="s">
        <v>65</v>
      </c>
      <c r="G235" s="543"/>
      <c r="H235" s="1103"/>
      <c r="I235" s="543"/>
      <c r="J235" s="545"/>
    </row>
    <row r="236" spans="6:14" x14ac:dyDescent="0.2">
      <c r="F236" s="536" t="s">
        <v>39</v>
      </c>
      <c r="G236" s="543"/>
      <c r="H236" s="1103"/>
      <c r="I236" s="543"/>
      <c r="J236" s="545"/>
      <c r="L236" s="1253"/>
    </row>
    <row r="237" spans="6:14" x14ac:dyDescent="0.2">
      <c r="F237" s="536" t="s">
        <v>66</v>
      </c>
      <c r="G237" s="543"/>
      <c r="H237" s="1103"/>
      <c r="I237" s="543"/>
      <c r="J237" s="545"/>
    </row>
    <row r="238" spans="6:14" x14ac:dyDescent="0.2">
      <c r="F238" s="536" t="s">
        <v>41</v>
      </c>
      <c r="G238" s="543"/>
      <c r="H238" s="1103"/>
      <c r="I238" s="543"/>
      <c r="J238" s="545"/>
    </row>
    <row r="239" spans="6:14" x14ac:dyDescent="0.2">
      <c r="F239" s="536" t="s">
        <v>42</v>
      </c>
      <c r="G239" s="547"/>
      <c r="H239" s="1109"/>
      <c r="I239" s="547"/>
      <c r="J239" s="550"/>
    </row>
    <row r="240" spans="6:14" x14ac:dyDescent="0.2">
      <c r="F240" s="536" t="s">
        <v>999</v>
      </c>
      <c r="G240" s="547"/>
      <c r="H240" s="1104">
        <f>26535.23+106610.07+589271.97+12104.07+802.94</f>
        <v>735324.27999999991</v>
      </c>
      <c r="I240" s="547"/>
      <c r="L240" s="537"/>
      <c r="N240" s="537"/>
    </row>
    <row r="241" spans="1:15" x14ac:dyDescent="0.2">
      <c r="F241" s="536" t="s">
        <v>908</v>
      </c>
      <c r="G241" s="547"/>
      <c r="H241" s="1109">
        <v>499456</v>
      </c>
      <c r="I241" s="547"/>
    </row>
    <row r="242" spans="1:15" x14ac:dyDescent="0.2">
      <c r="F242" s="536" t="s">
        <v>909</v>
      </c>
      <c r="G242" s="547"/>
      <c r="H242" s="1109">
        <f>1297707.14</f>
        <v>1297707.1399999999</v>
      </c>
      <c r="I242" s="547"/>
    </row>
    <row r="243" spans="1:15" s="1253" customFormat="1" x14ac:dyDescent="0.2">
      <c r="F243" s="536" t="s">
        <v>1098</v>
      </c>
      <c r="G243" s="547"/>
      <c r="H243" s="1109">
        <f>2548+1270</f>
        <v>3818</v>
      </c>
      <c r="I243" s="547"/>
    </row>
    <row r="244" spans="1:15" s="1253" customFormat="1" x14ac:dyDescent="0.2">
      <c r="F244" s="536" t="s">
        <v>987</v>
      </c>
      <c r="G244" s="547"/>
      <c r="H244" s="1109">
        <v>16756.64</v>
      </c>
      <c r="I244" s="547"/>
    </row>
    <row r="245" spans="1:15" s="1253" customFormat="1" x14ac:dyDescent="0.2">
      <c r="F245" s="536" t="s">
        <v>1099</v>
      </c>
      <c r="G245" s="547"/>
      <c r="H245" s="1109">
        <v>108913</v>
      </c>
      <c r="I245" s="547"/>
    </row>
    <row r="246" spans="1:15" s="1253" customFormat="1" x14ac:dyDescent="0.2">
      <c r="F246" s="536" t="s">
        <v>988</v>
      </c>
      <c r="G246" s="547"/>
      <c r="H246" s="1109">
        <v>1180222.02</v>
      </c>
      <c r="I246" s="547"/>
    </row>
    <row r="248" spans="1:15" ht="15.75" thickBot="1" x14ac:dyDescent="0.25">
      <c r="G248" s="546" t="s">
        <v>232</v>
      </c>
      <c r="H248" s="1105">
        <f>SUM(H211:H246)</f>
        <v>6704173.8800000008</v>
      </c>
      <c r="I248" s="546"/>
      <c r="J248" s="545"/>
      <c r="L248" s="537"/>
      <c r="O248" s="537">
        <f>Bilans!F30-'Załącznik 10'!H248</f>
        <v>0</v>
      </c>
    </row>
    <row r="250" spans="1:15" ht="6" customHeight="1" x14ac:dyDescent="0.2"/>
    <row r="251" spans="1:15" ht="15.75" thickBot="1" x14ac:dyDescent="0.25">
      <c r="A251" s="540" t="s">
        <v>243</v>
      </c>
      <c r="B251" s="541"/>
      <c r="C251" s="541"/>
      <c r="D251" s="541"/>
      <c r="E251" s="541"/>
      <c r="F251" s="542"/>
      <c r="G251" s="540" t="s">
        <v>238</v>
      </c>
      <c r="H251" s="1106"/>
      <c r="I251" s="540" t="s">
        <v>261</v>
      </c>
      <c r="J251" s="540" t="s">
        <v>633</v>
      </c>
    </row>
    <row r="252" spans="1:15" ht="15.75" thickTop="1" x14ac:dyDescent="0.2">
      <c r="A252" s="539" t="s">
        <v>266</v>
      </c>
      <c r="F252" s="536" t="s">
        <v>234</v>
      </c>
    </row>
    <row r="253" spans="1:15" x14ac:dyDescent="0.2">
      <c r="A253" s="539" t="s">
        <v>267</v>
      </c>
      <c r="F253" s="536" t="s">
        <v>1060</v>
      </c>
      <c r="G253" s="543"/>
      <c r="H253" s="1103">
        <v>280401.65000000002</v>
      </c>
      <c r="I253" s="543"/>
      <c r="J253" s="545"/>
    </row>
    <row r="254" spans="1:15" x14ac:dyDescent="0.2">
      <c r="F254" s="536" t="s">
        <v>40</v>
      </c>
      <c r="G254" s="543"/>
      <c r="H254" s="1103">
        <v>48826630.079999998</v>
      </c>
      <c r="I254" s="543"/>
      <c r="J254" s="545"/>
    </row>
    <row r="256" spans="1:15" ht="15.75" thickBot="1" x14ac:dyDescent="0.25">
      <c r="G256" s="546" t="s">
        <v>232</v>
      </c>
      <c r="H256" s="1105">
        <f>SUM(H253:H255)</f>
        <v>49107031.729999997</v>
      </c>
      <c r="I256" s="546"/>
      <c r="J256" s="545"/>
      <c r="L256" s="537"/>
      <c r="M256" s="537"/>
      <c r="O256" s="537">
        <f>Bilans!F31-'Załącznik 10'!H256</f>
        <v>0</v>
      </c>
    </row>
    <row r="258" spans="1:15" ht="6.75" customHeight="1" x14ac:dyDescent="0.2"/>
    <row r="259" spans="1:15" ht="34.5" customHeight="1" thickBot="1" x14ac:dyDescent="0.25">
      <c r="A259" s="1685" t="s">
        <v>263</v>
      </c>
      <c r="B259" s="1685"/>
      <c r="C259" s="1685"/>
      <c r="D259" s="1685"/>
      <c r="E259" s="1685"/>
      <c r="F259" s="1685"/>
      <c r="G259" s="540" t="s">
        <v>238</v>
      </c>
      <c r="H259" s="1106"/>
      <c r="I259" s="540" t="s">
        <v>261</v>
      </c>
      <c r="J259" s="540" t="s">
        <v>634</v>
      </c>
    </row>
    <row r="260" spans="1:15" ht="15.75" thickTop="1" x14ac:dyDescent="0.2">
      <c r="F260" s="536" t="s">
        <v>234</v>
      </c>
    </row>
    <row r="261" spans="1:15" x14ac:dyDescent="0.2">
      <c r="F261" s="536" t="s">
        <v>1000</v>
      </c>
      <c r="G261" s="543"/>
      <c r="H261" s="1103">
        <v>7388.07</v>
      </c>
      <c r="I261" s="543"/>
      <c r="J261" s="545"/>
    </row>
    <row r="262" spans="1:15" x14ac:dyDescent="0.2">
      <c r="F262" s="536" t="s">
        <v>258</v>
      </c>
      <c r="G262" s="547"/>
      <c r="H262" s="1109">
        <v>20000</v>
      </c>
      <c r="I262" s="547"/>
      <c r="J262" s="550"/>
    </row>
    <row r="263" spans="1:15" x14ac:dyDescent="0.2">
      <c r="F263" s="536" t="s">
        <v>259</v>
      </c>
      <c r="G263" s="543"/>
      <c r="H263" s="1103"/>
      <c r="I263" s="543"/>
      <c r="J263" s="545"/>
    </row>
    <row r="264" spans="1:15" x14ac:dyDescent="0.2">
      <c r="F264" s="536" t="s">
        <v>260</v>
      </c>
      <c r="G264" s="547"/>
      <c r="H264" s="1109"/>
      <c r="I264" s="547"/>
      <c r="J264" s="550"/>
    </row>
    <row r="266" spans="1:15" ht="15.75" thickBot="1" x14ac:dyDescent="0.25">
      <c r="G266" s="546" t="s">
        <v>232</v>
      </c>
      <c r="H266" s="1105">
        <f>SUM(H261:H264)</f>
        <v>27388.07</v>
      </c>
      <c r="I266" s="546"/>
      <c r="J266" s="545"/>
      <c r="L266" s="537"/>
    </row>
    <row r="267" spans="1:15" x14ac:dyDescent="0.2">
      <c r="O267" s="537">
        <f>Bilans!F32-'Załącznik 10'!H266</f>
        <v>0</v>
      </c>
    </row>
    <row r="268" spans="1:15" ht="6.75" customHeight="1" x14ac:dyDescent="0.2"/>
    <row r="269" spans="1:15" ht="15.75" thickBot="1" x14ac:dyDescent="0.25">
      <c r="A269" s="540" t="s">
        <v>178</v>
      </c>
      <c r="B269" s="541"/>
      <c r="C269" s="541"/>
      <c r="D269" s="541"/>
      <c r="E269" s="541"/>
      <c r="F269" s="542"/>
      <c r="G269" s="540" t="s">
        <v>238</v>
      </c>
      <c r="H269" s="1106"/>
      <c r="I269" s="540" t="s">
        <v>261</v>
      </c>
      <c r="J269" s="540" t="s">
        <v>636</v>
      </c>
    </row>
    <row r="270" spans="1:15" ht="15.75" thickTop="1" x14ac:dyDescent="0.2">
      <c r="F270" s="536" t="s">
        <v>234</v>
      </c>
    </row>
    <row r="271" spans="1:15" x14ac:dyDescent="0.2">
      <c r="F271" s="536" t="s">
        <v>76</v>
      </c>
      <c r="G271" s="543"/>
      <c r="H271" s="1103"/>
      <c r="I271" s="543"/>
      <c r="J271" s="545"/>
    </row>
    <row r="273" spans="1:10" ht="15.75" thickBot="1" x14ac:dyDescent="0.25">
      <c r="G273" s="546" t="s">
        <v>232</v>
      </c>
      <c r="H273" s="1105"/>
      <c r="I273" s="546"/>
      <c r="J273" s="545"/>
    </row>
    <row r="275" spans="1:10" ht="6" customHeight="1" x14ac:dyDescent="0.2"/>
    <row r="276" spans="1:10" ht="36.75" customHeight="1" x14ac:dyDescent="0.2"/>
    <row r="277" spans="1:10" ht="15.75" thickBot="1" x14ac:dyDescent="0.25">
      <c r="A277" s="540" t="s">
        <v>179</v>
      </c>
      <c r="B277" s="541"/>
      <c r="C277" s="541"/>
      <c r="D277" s="541"/>
      <c r="E277" s="541"/>
      <c r="F277" s="542"/>
      <c r="G277" s="540" t="s">
        <v>238</v>
      </c>
      <c r="H277" s="1106"/>
      <c r="I277" s="540" t="s">
        <v>261</v>
      </c>
      <c r="J277" s="540" t="s">
        <v>637</v>
      </c>
    </row>
    <row r="278" spans="1:10" ht="15.75" thickTop="1" x14ac:dyDescent="0.2">
      <c r="F278" s="536" t="s">
        <v>234</v>
      </c>
    </row>
    <row r="279" spans="1:10" x14ac:dyDescent="0.2">
      <c r="F279" s="536" t="s">
        <v>67</v>
      </c>
      <c r="G279" s="543"/>
      <c r="H279" s="1103"/>
      <c r="I279" s="543"/>
      <c r="J279" s="545"/>
    </row>
    <row r="280" spans="1:10" x14ac:dyDescent="0.2">
      <c r="F280" s="536" t="s">
        <v>68</v>
      </c>
      <c r="G280" s="543"/>
      <c r="H280" s="1103"/>
      <c r="I280" s="543"/>
      <c r="J280" s="545"/>
    </row>
    <row r="281" spans="1:10" x14ac:dyDescent="0.2">
      <c r="F281" s="536" t="s">
        <v>69</v>
      </c>
      <c r="G281" s="543"/>
      <c r="H281" s="1103"/>
      <c r="I281" s="543"/>
      <c r="J281" s="545"/>
    </row>
    <row r="283" spans="1:10" ht="15.75" thickBot="1" x14ac:dyDescent="0.25">
      <c r="G283" s="546" t="s">
        <v>232</v>
      </c>
      <c r="H283" s="1105"/>
      <c r="I283" s="546"/>
      <c r="J283" s="545"/>
    </row>
    <row r="284" spans="1:10" ht="16.5" customHeight="1" x14ac:dyDescent="0.2"/>
    <row r="285" spans="1:10" ht="6.75" customHeight="1" x14ac:dyDescent="0.2"/>
    <row r="286" spans="1:10" ht="15.75" thickBot="1" x14ac:dyDescent="0.25">
      <c r="A286" s="540" t="s">
        <v>262</v>
      </c>
      <c r="B286" s="541"/>
      <c r="C286" s="541"/>
      <c r="D286" s="541"/>
      <c r="E286" s="541"/>
      <c r="F286" s="542"/>
      <c r="G286" s="540" t="s">
        <v>238</v>
      </c>
      <c r="H286" s="1106"/>
      <c r="I286" s="540" t="s">
        <v>261</v>
      </c>
      <c r="J286" s="540" t="s">
        <v>635</v>
      </c>
    </row>
    <row r="287" spans="1:10" ht="15.75" thickTop="1" x14ac:dyDescent="0.2">
      <c r="F287" s="536" t="s">
        <v>234</v>
      </c>
    </row>
    <row r="288" spans="1:10" x14ac:dyDescent="0.2">
      <c r="F288" s="536" t="s">
        <v>910</v>
      </c>
      <c r="G288" s="543"/>
      <c r="H288" s="1103">
        <v>52149147.259999998</v>
      </c>
      <c r="I288" s="543"/>
      <c r="J288" s="545"/>
    </row>
    <row r="290" spans="1:15" ht="15.75" thickBot="1" x14ac:dyDescent="0.25">
      <c r="G290" s="546" t="s">
        <v>232</v>
      </c>
      <c r="H290" s="1105">
        <f>SUM(H288:H289)</f>
        <v>52149147.259999998</v>
      </c>
      <c r="I290" s="546"/>
      <c r="J290" s="545"/>
      <c r="O290" s="537">
        <f>Bilans!F36-'Załącznik 10'!H290</f>
        <v>0</v>
      </c>
    </row>
    <row r="291" spans="1:15" ht="6" customHeight="1" x14ac:dyDescent="0.2"/>
    <row r="292" spans="1:15" ht="20.25" customHeight="1" x14ac:dyDescent="0.2"/>
    <row r="293" spans="1:15" ht="15.75" thickBot="1" x14ac:dyDescent="0.25">
      <c r="A293" s="540" t="s">
        <v>180</v>
      </c>
      <c r="B293" s="541"/>
      <c r="C293" s="541"/>
      <c r="D293" s="541"/>
      <c r="E293" s="541"/>
      <c r="F293" s="542"/>
      <c r="G293" s="540" t="s">
        <v>238</v>
      </c>
      <c r="H293" s="1106"/>
      <c r="I293" s="540" t="s">
        <v>261</v>
      </c>
      <c r="J293" s="540" t="s">
        <v>638</v>
      </c>
    </row>
    <row r="294" spans="1:15" ht="15.75" thickTop="1" x14ac:dyDescent="0.2">
      <c r="F294" s="536" t="s">
        <v>234</v>
      </c>
    </row>
    <row r="295" spans="1:15" x14ac:dyDescent="0.2">
      <c r="F295" s="536" t="s">
        <v>1002</v>
      </c>
      <c r="G295" s="543"/>
      <c r="H295" s="1103">
        <v>3393035.7</v>
      </c>
      <c r="I295" s="543"/>
      <c r="J295" s="545"/>
    </row>
    <row r="297" spans="1:15" ht="15.75" thickBot="1" x14ac:dyDescent="0.25">
      <c r="G297" s="546" t="s">
        <v>232</v>
      </c>
      <c r="H297" s="1105">
        <f>SUM(H295:H296)</f>
        <v>3393035.7</v>
      </c>
      <c r="I297" s="546"/>
      <c r="J297" s="545"/>
      <c r="O297" s="537">
        <f>Bilans!F37-'Załącznik 10'!H297</f>
        <v>0</v>
      </c>
    </row>
    <row r="298" spans="1:15" ht="28.5" customHeight="1" x14ac:dyDescent="0.2"/>
    <row r="299" spans="1:15" ht="15.75" thickBot="1" x14ac:dyDescent="0.25">
      <c r="A299" s="540" t="s">
        <v>181</v>
      </c>
      <c r="B299" s="541"/>
      <c r="C299" s="541"/>
      <c r="D299" s="541"/>
      <c r="E299" s="541"/>
      <c r="F299" s="542"/>
      <c r="G299" s="540" t="s">
        <v>238</v>
      </c>
      <c r="H299" s="1106"/>
      <c r="I299" s="540" t="s">
        <v>261</v>
      </c>
      <c r="J299" s="540" t="s">
        <v>639</v>
      </c>
    </row>
    <row r="300" spans="1:15" ht="15.75" thickTop="1" x14ac:dyDescent="0.2">
      <c r="F300" s="536" t="s">
        <v>234</v>
      </c>
    </row>
    <row r="301" spans="1:15" x14ac:dyDescent="0.2">
      <c r="F301" s="536" t="s">
        <v>256</v>
      </c>
      <c r="G301" s="543"/>
      <c r="H301" s="1103"/>
      <c r="I301" s="543"/>
      <c r="J301" s="545"/>
    </row>
    <row r="303" spans="1:15" ht="15.75" thickBot="1" x14ac:dyDescent="0.25">
      <c r="G303" s="546" t="s">
        <v>232</v>
      </c>
      <c r="H303" s="1105"/>
      <c r="I303" s="546"/>
      <c r="J303" s="545"/>
    </row>
    <row r="308" spans="1:10" ht="18.75" customHeight="1" x14ac:dyDescent="0.2">
      <c r="A308" s="539" t="s">
        <v>299</v>
      </c>
      <c r="D308" s="1681"/>
      <c r="E308" s="1681"/>
      <c r="F308" s="1681" t="s">
        <v>298</v>
      </c>
      <c r="G308" s="1681"/>
      <c r="J308" s="551"/>
    </row>
    <row r="309" spans="1:10" ht="30.75" customHeight="1" x14ac:dyDescent="0.2">
      <c r="A309" s="539" t="s">
        <v>291</v>
      </c>
      <c r="F309" s="1682" t="s">
        <v>290</v>
      </c>
      <c r="G309" s="1682"/>
      <c r="J309" s="551"/>
    </row>
    <row r="311" spans="1:10" x14ac:dyDescent="0.2">
      <c r="I311" s="139"/>
      <c r="J311" s="139"/>
    </row>
    <row r="312" spans="1:10" ht="9.75" customHeight="1" x14ac:dyDescent="0.2">
      <c r="I312" s="139"/>
      <c r="J312" s="139"/>
    </row>
    <row r="313" spans="1:10" x14ac:dyDescent="0.2">
      <c r="I313" s="139"/>
      <c r="J313" s="139"/>
    </row>
    <row r="314" spans="1:10" x14ac:dyDescent="0.2">
      <c r="A314" s="539" t="s">
        <v>297</v>
      </c>
    </row>
  </sheetData>
  <mergeCells count="14">
    <mergeCell ref="D308:E308"/>
    <mergeCell ref="F308:G308"/>
    <mergeCell ref="F309:G309"/>
    <mergeCell ref="A7:J7"/>
    <mergeCell ref="A31:E31"/>
    <mergeCell ref="A96:E96"/>
    <mergeCell ref="A133:E133"/>
    <mergeCell ref="A195:E195"/>
    <mergeCell ref="A259:F259"/>
    <mergeCell ref="A5:B5"/>
    <mergeCell ref="G1:J1"/>
    <mergeCell ref="G2:J2"/>
    <mergeCell ref="A3:B3"/>
    <mergeCell ref="A4:B4"/>
  </mergeCells>
  <pageMargins left="0.51181102362204722" right="0.27559055118110237" top="0.31496062992125984" bottom="0.27559055118110237" header="0.15748031496062992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6"/>
  <sheetViews>
    <sheetView topLeftCell="A19" zoomScale="80" zoomScaleNormal="80" workbookViewId="0">
      <selection activeCell="N60" sqref="N60"/>
    </sheetView>
  </sheetViews>
  <sheetFormatPr defaultColWidth="9.140625" defaultRowHeight="15" x14ac:dyDescent="0.2"/>
  <cols>
    <col min="1" max="1" width="10" style="1140" customWidth="1"/>
    <col min="2" max="2" width="48" style="1139" customWidth="1"/>
    <col min="3" max="3" width="19" style="1139" bestFit="1" customWidth="1"/>
    <col min="4" max="4" width="16.7109375" style="1139" bestFit="1" customWidth="1"/>
    <col min="5" max="5" width="22" style="1139" customWidth="1"/>
    <col min="6" max="7" width="9.140625" style="1139"/>
    <col min="8" max="8" width="14.85546875" style="1139" bestFit="1" customWidth="1"/>
    <col min="9" max="9" width="9.140625" style="1139"/>
    <col min="10" max="10" width="14.42578125" style="1139" bestFit="1" customWidth="1"/>
    <col min="11" max="13" width="9.140625" style="1139"/>
    <col min="14" max="14" width="13.5703125" style="1139" bestFit="1" customWidth="1"/>
    <col min="15" max="16384" width="9.140625" style="1139"/>
  </cols>
  <sheetData>
    <row r="1" spans="1:5" s="141" customFormat="1" ht="14.25" customHeight="1" x14ac:dyDescent="0.25">
      <c r="A1" s="140"/>
      <c r="C1" s="1678" t="s">
        <v>265</v>
      </c>
      <c r="D1" s="1678"/>
      <c r="E1" s="1678"/>
    </row>
    <row r="2" spans="1:5" s="141" customFormat="1" ht="82.5" customHeight="1" x14ac:dyDescent="0.25">
      <c r="A2" s="140"/>
      <c r="C2" s="1667" t="s">
        <v>508</v>
      </c>
      <c r="D2" s="1668"/>
      <c r="E2" s="1668"/>
    </row>
    <row r="3" spans="1:5" s="143" customFormat="1" ht="12.75" customHeight="1" x14ac:dyDescent="0.25">
      <c r="A3" s="142"/>
      <c r="C3" s="1667"/>
      <c r="D3" s="1667"/>
      <c r="E3" s="1667"/>
    </row>
    <row r="4" spans="1:5" s="532" customFormat="1" ht="12" customHeight="1" x14ac:dyDescent="0.2">
      <c r="A4" s="1679" t="s">
        <v>300</v>
      </c>
      <c r="B4" s="1679"/>
      <c r="C4" s="531"/>
      <c r="D4" s="531"/>
      <c r="E4" s="531"/>
    </row>
    <row r="5" spans="1:5" s="533" customFormat="1" ht="12.75" customHeight="1" x14ac:dyDescent="0.2">
      <c r="A5" s="1680" t="s">
        <v>288</v>
      </c>
      <c r="B5" s="1680"/>
      <c r="C5" s="1138"/>
      <c r="D5" s="1138"/>
      <c r="E5" s="1138"/>
    </row>
    <row r="6" spans="1:5" s="533" customFormat="1" ht="14.25" customHeight="1" x14ac:dyDescent="0.2">
      <c r="A6" s="1677" t="s">
        <v>289</v>
      </c>
      <c r="B6" s="1677"/>
      <c r="C6" s="1138"/>
      <c r="D6" s="1138"/>
      <c r="E6" s="1138"/>
    </row>
    <row r="7" spans="1:5" s="143" customFormat="1" ht="12.75" customHeight="1" x14ac:dyDescent="0.25">
      <c r="A7" s="142"/>
      <c r="C7" s="529"/>
      <c r="D7" s="529"/>
      <c r="E7" s="529"/>
    </row>
    <row r="8" spans="1:5" ht="39" customHeight="1" x14ac:dyDescent="0.2">
      <c r="A8" s="1692" t="s">
        <v>1054</v>
      </c>
      <c r="B8" s="1692"/>
      <c r="C8" s="1692"/>
      <c r="D8" s="1692"/>
      <c r="E8" s="1692"/>
    </row>
    <row r="9" spans="1:5" ht="12.75" customHeight="1" thickBot="1" x14ac:dyDescent="0.25">
      <c r="A9" s="1142"/>
      <c r="B9" s="1143"/>
      <c r="C9" s="1143"/>
      <c r="D9" s="1143"/>
      <c r="E9" s="1143"/>
    </row>
    <row r="10" spans="1:5" s="1140" customFormat="1" ht="17.25" customHeight="1" thickTop="1" thickBot="1" x14ac:dyDescent="0.25">
      <c r="A10" s="1693" t="s">
        <v>234</v>
      </c>
      <c r="B10" s="1695" t="s">
        <v>147</v>
      </c>
      <c r="C10" s="1697" t="s">
        <v>1061</v>
      </c>
      <c r="D10" s="1698"/>
      <c r="E10" s="1699" t="s">
        <v>62</v>
      </c>
    </row>
    <row r="11" spans="1:5" s="1140" customFormat="1" ht="16.5" thickBot="1" x14ac:dyDescent="0.25">
      <c r="A11" s="1694"/>
      <c r="B11" s="1696"/>
      <c r="C11" s="1144" t="s">
        <v>227</v>
      </c>
      <c r="D11" s="1144" t="s">
        <v>228</v>
      </c>
      <c r="E11" s="1700"/>
    </row>
    <row r="12" spans="1:5" s="1140" customFormat="1" ht="15.75" customHeight="1" thickBot="1" x14ac:dyDescent="0.25">
      <c r="A12" s="1701" t="s">
        <v>148</v>
      </c>
      <c r="B12" s="1702"/>
      <c r="C12" s="1145"/>
      <c r="D12" s="1145"/>
      <c r="E12" s="1146"/>
    </row>
    <row r="13" spans="1:5" s="1140" customFormat="1" ht="15.75" customHeight="1" x14ac:dyDescent="0.2">
      <c r="A13" s="1147" t="s">
        <v>270</v>
      </c>
      <c r="B13" s="1148" t="s">
        <v>271</v>
      </c>
      <c r="C13" s="1149">
        <v>2091144.69</v>
      </c>
      <c r="D13" s="1149"/>
      <c r="E13" s="1164">
        <f>SUM(C13-D14-D15)</f>
        <v>0</v>
      </c>
    </row>
    <row r="14" spans="1:5" s="1140" customFormat="1" ht="15.75" customHeight="1" x14ac:dyDescent="0.2">
      <c r="A14" s="1150" t="s">
        <v>272</v>
      </c>
      <c r="B14" s="1151" t="s">
        <v>273</v>
      </c>
      <c r="C14" s="1152"/>
      <c r="D14" s="1152">
        <v>651930.96</v>
      </c>
      <c r="E14" s="1153"/>
    </row>
    <row r="15" spans="1:5" s="1140" customFormat="1" ht="15.75" customHeight="1" x14ac:dyDescent="0.2">
      <c r="A15" s="1154" t="s">
        <v>274</v>
      </c>
      <c r="B15" s="1155" t="s">
        <v>275</v>
      </c>
      <c r="C15" s="1152"/>
      <c r="D15" s="1152">
        <v>1439213.73</v>
      </c>
      <c r="E15" s="1153"/>
    </row>
    <row r="16" spans="1:5" s="1140" customFormat="1" ht="15.75" customHeight="1" thickBot="1" x14ac:dyDescent="0.25">
      <c r="A16" s="1156"/>
      <c r="B16" s="1157" t="s">
        <v>368</v>
      </c>
      <c r="C16" s="1158"/>
      <c r="D16" s="1158"/>
      <c r="E16" s="1159">
        <v>0</v>
      </c>
    </row>
    <row r="17" spans="1:5" s="705" customFormat="1" ht="15.75" customHeight="1" thickBot="1" x14ac:dyDescent="0.25">
      <c r="A17" s="1703" t="s">
        <v>142</v>
      </c>
      <c r="B17" s="1704"/>
      <c r="C17" s="1160">
        <f>SUM(C13:C16)</f>
        <v>2091144.69</v>
      </c>
      <c r="D17" s="1160">
        <f>SUM(D14:D16)</f>
        <v>2091144.69</v>
      </c>
      <c r="E17" s="1161"/>
    </row>
    <row r="18" spans="1:5" s="705" customFormat="1" ht="15.75" customHeight="1" x14ac:dyDescent="0.2">
      <c r="A18" s="1162" t="s">
        <v>276</v>
      </c>
      <c r="B18" s="1163" t="s">
        <v>30</v>
      </c>
      <c r="C18" s="1164">
        <v>708807361.66999996</v>
      </c>
      <c r="D18" s="1164"/>
      <c r="E18" s="1164">
        <f>SUM(C18-D19-D20)</f>
        <v>701528124.67999995</v>
      </c>
    </row>
    <row r="19" spans="1:5" s="705" customFormat="1" ht="15.75" customHeight="1" x14ac:dyDescent="0.2">
      <c r="A19" s="1154" t="s">
        <v>272</v>
      </c>
      <c r="B19" s="1075" t="s">
        <v>31</v>
      </c>
      <c r="C19" s="1152"/>
      <c r="D19" s="1152">
        <v>7196669.7000000002</v>
      </c>
      <c r="E19" s="1152"/>
    </row>
    <row r="20" spans="1:5" s="1140" customFormat="1" ht="15.75" customHeight="1" thickBot="1" x14ac:dyDescent="0.25">
      <c r="A20" s="1156" t="s">
        <v>961</v>
      </c>
      <c r="B20" s="746" t="s">
        <v>368</v>
      </c>
      <c r="C20" s="1158"/>
      <c r="D20" s="1158">
        <v>82567.289999999994</v>
      </c>
      <c r="E20" s="1159"/>
    </row>
    <row r="21" spans="1:5" s="1140" customFormat="1" ht="34.5" customHeight="1" x14ac:dyDescent="0.2">
      <c r="A21" s="1162" t="s">
        <v>276</v>
      </c>
      <c r="B21" s="1165" t="s">
        <v>208</v>
      </c>
      <c r="C21" s="1164">
        <f>104313402.62+213849145.12</f>
        <v>318162547.74000001</v>
      </c>
      <c r="D21" s="1164"/>
      <c r="E21" s="1166">
        <f>SUM(C21-D22)</f>
        <v>126113487.54000002</v>
      </c>
    </row>
    <row r="22" spans="1:5" s="1140" customFormat="1" ht="29.25" customHeight="1" x14ac:dyDescent="0.2">
      <c r="A22" s="1150" t="s">
        <v>272</v>
      </c>
      <c r="B22" s="1167" t="s">
        <v>229</v>
      </c>
      <c r="C22" s="1152"/>
      <c r="D22" s="1152">
        <f>39162074.05+152886986.15</f>
        <v>192049060.19999999</v>
      </c>
      <c r="E22" s="1153"/>
    </row>
    <row r="23" spans="1:5" s="1140" customFormat="1" ht="15.75" customHeight="1" thickBot="1" x14ac:dyDescent="0.25">
      <c r="A23" s="1168" t="s">
        <v>961</v>
      </c>
      <c r="B23" s="1169" t="s">
        <v>367</v>
      </c>
      <c r="C23" s="1158"/>
      <c r="D23" s="1158"/>
      <c r="E23" s="1159"/>
    </row>
    <row r="24" spans="1:5" s="1140" customFormat="1" ht="15.75" customHeight="1" x14ac:dyDescent="0.2">
      <c r="A24" s="1170" t="s">
        <v>276</v>
      </c>
      <c r="B24" s="1171" t="s">
        <v>277</v>
      </c>
      <c r="C24" s="1172">
        <f>4540872.65+6113787.41</f>
        <v>10654660.060000001</v>
      </c>
      <c r="D24" s="1172"/>
      <c r="E24" s="1173">
        <f>SUM(C24-D25)</f>
        <v>1702011.4500000011</v>
      </c>
    </row>
    <row r="25" spans="1:5" s="1140" customFormat="1" ht="15.75" customHeight="1" x14ac:dyDescent="0.2">
      <c r="A25" s="1174" t="s">
        <v>278</v>
      </c>
      <c r="B25" s="1175" t="s">
        <v>229</v>
      </c>
      <c r="C25" s="1176"/>
      <c r="D25" s="1176">
        <f>4500137.47+4452511.14</f>
        <v>8952648.6099999994</v>
      </c>
      <c r="E25" s="1177"/>
    </row>
    <row r="26" spans="1:5" s="1140" customFormat="1" ht="15.75" customHeight="1" thickBot="1" x14ac:dyDescent="0.25">
      <c r="A26" s="1178" t="s">
        <v>961</v>
      </c>
      <c r="B26" s="1175" t="s">
        <v>367</v>
      </c>
      <c r="C26" s="1176"/>
      <c r="D26" s="1176"/>
      <c r="E26" s="1177"/>
    </row>
    <row r="27" spans="1:5" s="1140" customFormat="1" ht="15.75" customHeight="1" x14ac:dyDescent="0.2">
      <c r="A27" s="1170" t="s">
        <v>279</v>
      </c>
      <c r="B27" s="1171" t="s">
        <v>280</v>
      </c>
      <c r="C27" s="1172">
        <v>374560.21</v>
      </c>
      <c r="D27" s="1172"/>
      <c r="E27" s="1173">
        <f>SUM(C27-D28)</f>
        <v>120290.00000000003</v>
      </c>
    </row>
    <row r="28" spans="1:5" s="1140" customFormat="1" ht="15.75" customHeight="1" x14ac:dyDescent="0.2">
      <c r="A28" s="1174" t="s">
        <v>272</v>
      </c>
      <c r="B28" s="1175" t="s">
        <v>229</v>
      </c>
      <c r="C28" s="1176"/>
      <c r="D28" s="1176">
        <v>254270.21</v>
      </c>
      <c r="E28" s="1177"/>
    </row>
    <row r="29" spans="1:5" s="1140" customFormat="1" ht="15.75" customHeight="1" thickBot="1" x14ac:dyDescent="0.25">
      <c r="A29" s="1174"/>
      <c r="B29" s="1175" t="s">
        <v>368</v>
      </c>
      <c r="C29" s="1176"/>
      <c r="D29" s="1176"/>
      <c r="E29" s="1177"/>
    </row>
    <row r="30" spans="1:5" s="1140" customFormat="1" ht="15.75" customHeight="1" x14ac:dyDescent="0.2">
      <c r="A30" s="1170" t="s">
        <v>279</v>
      </c>
      <c r="B30" s="1171" t="s">
        <v>281</v>
      </c>
      <c r="C30" s="1172">
        <v>3367152.44</v>
      </c>
      <c r="D30" s="1172"/>
      <c r="E30" s="1173">
        <f>SUM(C30-D31)</f>
        <v>191610.66000000015</v>
      </c>
    </row>
    <row r="31" spans="1:5" s="1140" customFormat="1" ht="15.75" customHeight="1" x14ac:dyDescent="0.2">
      <c r="A31" s="1174" t="s">
        <v>272</v>
      </c>
      <c r="B31" s="1175" t="s">
        <v>229</v>
      </c>
      <c r="C31" s="1176"/>
      <c r="D31" s="1176">
        <v>3175541.78</v>
      </c>
      <c r="E31" s="1177"/>
    </row>
    <row r="32" spans="1:5" s="705" customFormat="1" ht="15.75" customHeight="1" thickBot="1" x14ac:dyDescent="0.25">
      <c r="A32" s="1179" t="s">
        <v>961</v>
      </c>
      <c r="B32" s="1175" t="s">
        <v>367</v>
      </c>
      <c r="C32" s="1180"/>
      <c r="D32" s="1180"/>
      <c r="E32" s="1181"/>
    </row>
    <row r="33" spans="1:5" s="1140" customFormat="1" ht="15.75" customHeight="1" thickBot="1" x14ac:dyDescent="0.25">
      <c r="A33" s="1705" t="s">
        <v>142</v>
      </c>
      <c r="B33" s="1706"/>
      <c r="C33" s="1182">
        <f>SUM(C18:C32)</f>
        <v>1041366282.12</v>
      </c>
      <c r="D33" s="1182">
        <f>SUM(D18:D32)</f>
        <v>211710757.79000002</v>
      </c>
      <c r="E33" s="1183">
        <f>SUM(E18:E32)</f>
        <v>829655524.33000004</v>
      </c>
    </row>
    <row r="34" spans="1:5" s="1140" customFormat="1" ht="15.75" customHeight="1" x14ac:dyDescent="0.2">
      <c r="A34" s="1170" t="s">
        <v>23</v>
      </c>
      <c r="B34" s="1171" t="s">
        <v>210</v>
      </c>
      <c r="C34" s="1184">
        <v>0</v>
      </c>
      <c r="D34" s="1184"/>
      <c r="E34" s="1185">
        <f>SUM(C34-D35)</f>
        <v>0</v>
      </c>
    </row>
    <row r="35" spans="1:5" s="705" customFormat="1" ht="15.75" customHeight="1" thickBot="1" x14ac:dyDescent="0.25">
      <c r="A35" s="1186" t="s">
        <v>24</v>
      </c>
      <c r="B35" s="1187" t="s">
        <v>25</v>
      </c>
      <c r="C35" s="1188"/>
      <c r="D35" s="1188">
        <v>0</v>
      </c>
      <c r="E35" s="1189"/>
    </row>
    <row r="36" spans="1:5" s="1140" customFormat="1" ht="15.75" customHeight="1" thickBot="1" x14ac:dyDescent="0.25">
      <c r="A36" s="1705" t="s">
        <v>142</v>
      </c>
      <c r="B36" s="1706"/>
      <c r="C36" s="1182"/>
      <c r="D36" s="1182"/>
      <c r="E36" s="1183"/>
    </row>
    <row r="37" spans="1:5" s="1140" customFormat="1" ht="15.75" customHeight="1" x14ac:dyDescent="0.2">
      <c r="A37" s="1170" t="s">
        <v>149</v>
      </c>
      <c r="B37" s="1171" t="s">
        <v>282</v>
      </c>
      <c r="C37" s="1184">
        <v>9656901.0099999998</v>
      </c>
      <c r="D37" s="1184"/>
      <c r="E37" s="1185">
        <f>SUM(C37-D38)</f>
        <v>4630954.72</v>
      </c>
    </row>
    <row r="38" spans="1:5" s="705" customFormat="1" ht="15.75" customHeight="1" thickBot="1" x14ac:dyDescent="0.25">
      <c r="A38" s="1186" t="s">
        <v>274</v>
      </c>
      <c r="B38" s="1187" t="s">
        <v>229</v>
      </c>
      <c r="C38" s="1188"/>
      <c r="D38" s="1188">
        <f>3948796.62+1077149.67</f>
        <v>5025946.29</v>
      </c>
      <c r="E38" s="1189"/>
    </row>
    <row r="39" spans="1:5" s="1140" customFormat="1" ht="15.75" customHeight="1" thickBot="1" x14ac:dyDescent="0.25">
      <c r="A39" s="1686" t="s">
        <v>142</v>
      </c>
      <c r="B39" s="1687"/>
      <c r="C39" s="1190">
        <f>SUM(C37)</f>
        <v>9656901.0099999998</v>
      </c>
      <c r="D39" s="1190">
        <f>SUM(D38)</f>
        <v>5025946.29</v>
      </c>
      <c r="E39" s="1191">
        <f>SUM(E37)</f>
        <v>4630954.72</v>
      </c>
    </row>
    <row r="40" spans="1:5" s="1140" customFormat="1" ht="15.75" customHeight="1" x14ac:dyDescent="0.2">
      <c r="A40" s="1170" t="s">
        <v>150</v>
      </c>
      <c r="B40" s="1171" t="s">
        <v>153</v>
      </c>
      <c r="C40" s="1184"/>
      <c r="D40" s="1184"/>
      <c r="E40" s="1185"/>
    </row>
    <row r="41" spans="1:5" s="705" customFormat="1" ht="15.75" customHeight="1" thickBot="1" x14ac:dyDescent="0.25">
      <c r="A41" s="1186" t="s">
        <v>283</v>
      </c>
      <c r="B41" s="1192" t="s">
        <v>154</v>
      </c>
      <c r="C41" s="1188"/>
      <c r="D41" s="1188"/>
      <c r="E41" s="1189"/>
    </row>
    <row r="42" spans="1:5" s="1140" customFormat="1" ht="15.75" customHeight="1" thickBot="1" x14ac:dyDescent="0.25">
      <c r="A42" s="1686" t="s">
        <v>142</v>
      </c>
      <c r="B42" s="1687"/>
      <c r="C42" s="1190"/>
      <c r="D42" s="1190"/>
      <c r="E42" s="1191"/>
    </row>
    <row r="43" spans="1:5" s="1140" customFormat="1" ht="15.75" customHeight="1" x14ac:dyDescent="0.2">
      <c r="A43" s="1170" t="s">
        <v>369</v>
      </c>
      <c r="B43" s="1171" t="s">
        <v>370</v>
      </c>
      <c r="C43" s="1184"/>
      <c r="D43" s="1184"/>
      <c r="E43" s="1185"/>
    </row>
    <row r="44" spans="1:5" s="1140" customFormat="1" ht="15.75" customHeight="1" thickBot="1" x14ac:dyDescent="0.25">
      <c r="A44" s="1193"/>
      <c r="B44" s="1175" t="s">
        <v>368</v>
      </c>
      <c r="C44" s="1194"/>
      <c r="D44" s="1194"/>
      <c r="E44" s="1195"/>
    </row>
    <row r="45" spans="1:5" s="1140" customFormat="1" ht="15.75" customHeight="1" thickBot="1" x14ac:dyDescent="0.25">
      <c r="A45" s="1686" t="s">
        <v>142</v>
      </c>
      <c r="B45" s="1687"/>
      <c r="C45" s="1190"/>
      <c r="D45" s="1190"/>
      <c r="E45" s="1191"/>
    </row>
    <row r="46" spans="1:5" s="1140" customFormat="1" ht="15.75" customHeight="1" thickBot="1" x14ac:dyDescent="0.25">
      <c r="A46" s="1170" t="s">
        <v>152</v>
      </c>
      <c r="B46" s="1196" t="s">
        <v>151</v>
      </c>
      <c r="C46" s="1184">
        <v>20364.060000000001</v>
      </c>
      <c r="D46" s="1184"/>
      <c r="E46" s="1173">
        <f>SUM(C46-D46)</f>
        <v>20364.060000000001</v>
      </c>
    </row>
    <row r="47" spans="1:5" s="1140" customFormat="1" ht="15.75" customHeight="1" thickBot="1" x14ac:dyDescent="0.25">
      <c r="A47" s="1686" t="s">
        <v>142</v>
      </c>
      <c r="B47" s="1687"/>
      <c r="C47" s="1182">
        <f>SUM(C46)</f>
        <v>20364.060000000001</v>
      </c>
      <c r="D47" s="1182"/>
      <c r="E47" s="1183">
        <f>SUM(E46)</f>
        <v>20364.060000000001</v>
      </c>
    </row>
    <row r="48" spans="1:5" s="1140" customFormat="1" ht="15.75" customHeight="1" x14ac:dyDescent="0.2">
      <c r="A48" s="1170" t="s">
        <v>284</v>
      </c>
      <c r="B48" s="1171" t="s">
        <v>285</v>
      </c>
      <c r="C48" s="1184">
        <v>184969681.94</v>
      </c>
      <c r="D48" s="1184"/>
      <c r="E48" s="1173">
        <f>SUM(C48-D49)</f>
        <v>182713990.93000001</v>
      </c>
    </row>
    <row r="49" spans="1:14" s="1140" customFormat="1" ht="15.75" customHeight="1" thickBot="1" x14ac:dyDescent="0.25">
      <c r="A49" s="1197" t="s">
        <v>961</v>
      </c>
      <c r="B49" s="1175" t="s">
        <v>368</v>
      </c>
      <c r="C49" s="1198"/>
      <c r="D49" s="1198">
        <v>2255691.0099999998</v>
      </c>
      <c r="E49" s="1199"/>
    </row>
    <row r="50" spans="1:14" s="705" customFormat="1" ht="15.75" customHeight="1" thickBot="1" x14ac:dyDescent="0.25">
      <c r="A50" s="1686" t="s">
        <v>142</v>
      </c>
      <c r="B50" s="1687"/>
      <c r="C50" s="1182">
        <f>SUM(C48)</f>
        <v>184969681.94</v>
      </c>
      <c r="D50" s="1182">
        <f>SUM(D49)</f>
        <v>2255691.0099999998</v>
      </c>
      <c r="E50" s="1183">
        <f>SUM(E48)</f>
        <v>182713990.93000001</v>
      </c>
      <c r="H50" s="747"/>
      <c r="J50" s="747"/>
    </row>
    <row r="51" spans="1:14" s="1140" customFormat="1" ht="15.75" customHeight="1" x14ac:dyDescent="0.2">
      <c r="A51" s="1200">
        <v>226</v>
      </c>
      <c r="B51" s="1171" t="s">
        <v>339</v>
      </c>
      <c r="C51" s="1012">
        <v>61768944.460000001</v>
      </c>
      <c r="D51" s="1012"/>
      <c r="E51" s="1173">
        <f>SUM(C51-D52)</f>
        <v>61768944.460000001</v>
      </c>
    </row>
    <row r="52" spans="1:14" s="1140" customFormat="1" ht="15.75" customHeight="1" thickBot="1" x14ac:dyDescent="0.25">
      <c r="A52" s="1201"/>
      <c r="B52" s="1175" t="s">
        <v>368</v>
      </c>
      <c r="C52" s="1198"/>
      <c r="D52" s="1198"/>
      <c r="E52" s="1199"/>
    </row>
    <row r="53" spans="1:14" s="1140" customFormat="1" ht="15.75" customHeight="1" thickBot="1" x14ac:dyDescent="0.25">
      <c r="A53" s="1686" t="s">
        <v>142</v>
      </c>
      <c r="B53" s="1687"/>
      <c r="C53" s="1190">
        <f>SUM(C51)</f>
        <v>61768944.460000001</v>
      </c>
      <c r="D53" s="1190"/>
      <c r="E53" s="1191">
        <f>SUM(E51)</f>
        <v>61768944.460000001</v>
      </c>
    </row>
    <row r="54" spans="1:14" s="1140" customFormat="1" ht="15.75" customHeight="1" x14ac:dyDescent="0.2">
      <c r="A54" s="1202" t="s">
        <v>250</v>
      </c>
      <c r="B54" s="1203" t="s">
        <v>93</v>
      </c>
      <c r="C54" s="1176"/>
      <c r="D54" s="1176"/>
      <c r="E54" s="1177"/>
    </row>
    <row r="55" spans="1:14" s="1140" customFormat="1" ht="15.75" customHeight="1" x14ac:dyDescent="0.2">
      <c r="A55" s="1174" t="s">
        <v>114</v>
      </c>
      <c r="B55" s="1175" t="s">
        <v>368</v>
      </c>
      <c r="C55" s="1176"/>
      <c r="D55" s="1176"/>
      <c r="E55" s="1177"/>
    </row>
    <row r="56" spans="1:14" s="1140" customFormat="1" ht="15.75" customHeight="1" x14ac:dyDescent="0.2">
      <c r="A56" s="1174" t="s">
        <v>250</v>
      </c>
      <c r="B56" s="1175" t="s">
        <v>155</v>
      </c>
      <c r="C56" s="1176"/>
      <c r="D56" s="1176"/>
      <c r="E56" s="1177"/>
    </row>
    <row r="57" spans="1:14" ht="18.75" customHeight="1" x14ac:dyDescent="0.2">
      <c r="A57" s="1174" t="s">
        <v>114</v>
      </c>
      <c r="B57" s="1175" t="s">
        <v>368</v>
      </c>
      <c r="C57" s="1176"/>
      <c r="D57" s="1176"/>
      <c r="E57" s="1177"/>
    </row>
    <row r="58" spans="1:14" ht="18" customHeight="1" x14ac:dyDescent="0.2">
      <c r="A58" s="1174" t="s">
        <v>250</v>
      </c>
      <c r="B58" s="1175" t="s">
        <v>56</v>
      </c>
      <c r="C58" s="1176"/>
      <c r="D58" s="1176"/>
      <c r="E58" s="1177"/>
    </row>
    <row r="59" spans="1:14" s="1140" customFormat="1" ht="15.75" customHeight="1" thickBot="1" x14ac:dyDescent="0.25">
      <c r="A59" s="1204" t="s">
        <v>114</v>
      </c>
      <c r="B59" s="1175" t="s">
        <v>368</v>
      </c>
      <c r="C59" s="1198"/>
      <c r="D59" s="1198"/>
      <c r="E59" s="1199"/>
    </row>
    <row r="60" spans="1:14" s="1140" customFormat="1" ht="15.75" customHeight="1" thickBot="1" x14ac:dyDescent="0.25">
      <c r="A60" s="1688" t="s">
        <v>142</v>
      </c>
      <c r="B60" s="1689"/>
      <c r="C60" s="1205">
        <f>SUM(C17+C33+C39+C47+C50+C53)</f>
        <v>1299873318.28</v>
      </c>
      <c r="D60" s="1205">
        <f>SUM(D17+D33+D39+D47+D50)</f>
        <v>221083539.78</v>
      </c>
      <c r="E60" s="1206">
        <f>SUM(E33+E47+E50+E53)</f>
        <v>1074158823.78</v>
      </c>
      <c r="H60" s="745"/>
      <c r="I60" s="745">
        <f>Bilans!C13-'Załącznik 11'!E60</f>
        <v>0</v>
      </c>
      <c r="J60" s="745"/>
      <c r="N60" s="745">
        <f>Bilans!C13-'Załącznik 11'!E60</f>
        <v>0</v>
      </c>
    </row>
    <row r="61" spans="1:14" s="1140" customFormat="1" ht="15.75" customHeight="1" thickBot="1" x14ac:dyDescent="0.25">
      <c r="A61" s="1690" t="s">
        <v>35</v>
      </c>
      <c r="B61" s="1691"/>
      <c r="C61" s="1207"/>
      <c r="D61" s="1207"/>
      <c r="E61" s="1208"/>
    </row>
    <row r="62" spans="1:14" s="1140" customFormat="1" ht="15.75" customHeight="1" thickTop="1" x14ac:dyDescent="0.2">
      <c r="A62" s="1209"/>
      <c r="B62" s="1141"/>
      <c r="C62" s="1210"/>
      <c r="D62" s="1210"/>
      <c r="E62" s="1210"/>
    </row>
    <row r="63" spans="1:14" s="1140" customFormat="1" ht="15.75" customHeight="1" x14ac:dyDescent="0.2">
      <c r="A63" s="1209"/>
      <c r="B63" s="1141"/>
      <c r="C63" s="1210"/>
      <c r="D63" s="1210"/>
      <c r="E63" s="1210"/>
    </row>
    <row r="64" spans="1:14" s="1140" customFormat="1" ht="15.75" customHeight="1" x14ac:dyDescent="0.2">
      <c r="A64" s="1211" t="s">
        <v>299</v>
      </c>
      <c r="B64" s="1136"/>
      <c r="C64" s="1394"/>
      <c r="D64" s="1394"/>
      <c r="E64" s="1136" t="s">
        <v>298</v>
      </c>
    </row>
    <row r="65" spans="1:5" s="1140" customFormat="1" ht="15.75" customHeight="1" x14ac:dyDescent="0.2">
      <c r="A65" s="1137" t="s">
        <v>291</v>
      </c>
      <c r="B65" s="1136"/>
      <c r="C65" s="1136"/>
      <c r="D65" s="1136"/>
      <c r="E65" s="1211" t="s">
        <v>290</v>
      </c>
    </row>
    <row r="66" spans="1:5" s="1140" customFormat="1" ht="15.75" customHeight="1" x14ac:dyDescent="0.2"/>
    <row r="67" spans="1:5" s="1140" customFormat="1" ht="15.75" customHeight="1" x14ac:dyDescent="0.2"/>
    <row r="68" spans="1:5" s="1140" customFormat="1" ht="15.75" customHeight="1" x14ac:dyDescent="0.2"/>
    <row r="69" spans="1:5" s="1140" customFormat="1" ht="15.75" customHeight="1" x14ac:dyDescent="0.2"/>
    <row r="70" spans="1:5" s="1140" customFormat="1" ht="15.75" customHeight="1" x14ac:dyDescent="0.2"/>
    <row r="71" spans="1:5" s="1140" customFormat="1" ht="15.75" customHeight="1" x14ac:dyDescent="0.2"/>
    <row r="72" spans="1:5" s="1140" customFormat="1" ht="15.75" customHeight="1" x14ac:dyDescent="0.2"/>
    <row r="73" spans="1:5" s="1140" customFormat="1" ht="15.75" customHeight="1" x14ac:dyDescent="0.2"/>
    <row r="74" spans="1:5" s="1140" customFormat="1" ht="15.75" customHeight="1" x14ac:dyDescent="0.2"/>
    <row r="75" spans="1:5" s="1140" customFormat="1" ht="15.75" customHeight="1" x14ac:dyDescent="0.2"/>
    <row r="76" spans="1:5" s="1140" customFormat="1" ht="15.75" customHeight="1" x14ac:dyDescent="0.2">
      <c r="B76" s="1139"/>
      <c r="C76" s="1139"/>
      <c r="D76" s="1139"/>
      <c r="E76" s="1139"/>
    </row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</sheetData>
  <mergeCells count="24">
    <mergeCell ref="A12:B12"/>
    <mergeCell ref="A17:B17"/>
    <mergeCell ref="A33:B33"/>
    <mergeCell ref="A36:B36"/>
    <mergeCell ref="A39:B39"/>
    <mergeCell ref="A6:B6"/>
    <mergeCell ref="A8:E8"/>
    <mergeCell ref="A10:A11"/>
    <mergeCell ref="B10:B11"/>
    <mergeCell ref="C10:D10"/>
    <mergeCell ref="E10:E11"/>
    <mergeCell ref="A5:B5"/>
    <mergeCell ref="C1:E1"/>
    <mergeCell ref="C2:E2"/>
    <mergeCell ref="C3:E3"/>
    <mergeCell ref="A4:B4"/>
    <mergeCell ref="C64:D64"/>
    <mergeCell ref="A42:B42"/>
    <mergeCell ref="A47:B47"/>
    <mergeCell ref="A50:B50"/>
    <mergeCell ref="A53:B53"/>
    <mergeCell ref="A60:B60"/>
    <mergeCell ref="A45:B45"/>
    <mergeCell ref="A61:B61"/>
  </mergeCells>
  <printOptions horizontalCentered="1"/>
  <pageMargins left="0.23622047244094491" right="0.27559055118110237" top="0.19685039370078741" bottom="0.27559055118110237" header="0.19685039370078741" footer="0.1968503937007874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3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5"/>
  <sheetViews>
    <sheetView workbookViewId="0">
      <selection activeCell="L43" sqref="L43"/>
    </sheetView>
  </sheetViews>
  <sheetFormatPr defaultColWidth="9.140625" defaultRowHeight="15" x14ac:dyDescent="0.2"/>
  <cols>
    <col min="1" max="1" width="5.7109375" style="154" customWidth="1"/>
    <col min="2" max="3" width="11.85546875" style="154" customWidth="1"/>
    <col min="4" max="4" width="28.7109375" style="154" customWidth="1"/>
    <col min="5" max="5" width="14" style="154" customWidth="1"/>
    <col min="6" max="6" width="17.140625" style="154" customWidth="1"/>
    <col min="7" max="7" width="19" style="154" customWidth="1"/>
    <col min="8" max="8" width="9.140625" style="154"/>
    <col min="9" max="9" width="12" style="154" bestFit="1" customWidth="1"/>
    <col min="10" max="10" width="13.28515625" style="154" bestFit="1" customWidth="1"/>
    <col min="11" max="11" width="12.140625" style="154" bestFit="1" customWidth="1"/>
    <col min="12" max="12" width="12.42578125" style="154" bestFit="1" customWidth="1"/>
    <col min="13" max="14" width="9.140625" style="154"/>
    <col min="15" max="15" width="13.28515625" style="154" bestFit="1" customWidth="1"/>
    <col min="16" max="16384" width="9.140625" style="154"/>
  </cols>
  <sheetData>
    <row r="1" spans="1:12" s="149" customFormat="1" x14ac:dyDescent="0.25">
      <c r="F1" s="150" t="s">
        <v>500</v>
      </c>
    </row>
    <row r="2" spans="1:12" s="149" customFormat="1" x14ac:dyDescent="0.25">
      <c r="F2" s="1667" t="s">
        <v>508</v>
      </c>
      <c r="G2" s="1709"/>
    </row>
    <row r="3" spans="1:12" s="133" customFormat="1" x14ac:dyDescent="0.2">
      <c r="A3" s="390" t="s">
        <v>300</v>
      </c>
      <c r="B3" s="518"/>
      <c r="C3" s="132"/>
      <c r="D3" s="132"/>
    </row>
    <row r="4" spans="1:12" s="134" customFormat="1" x14ac:dyDescent="0.2">
      <c r="A4" s="1710" t="s">
        <v>288</v>
      </c>
      <c r="B4" s="1710"/>
      <c r="C4" s="519"/>
      <c r="D4" s="519"/>
    </row>
    <row r="5" spans="1:12" s="134" customFormat="1" x14ac:dyDescent="0.2">
      <c r="A5" s="1711" t="s">
        <v>289</v>
      </c>
      <c r="B5" s="1711"/>
      <c r="C5" s="519"/>
      <c r="D5" s="519"/>
    </row>
    <row r="6" spans="1:12" s="151" customFormat="1" x14ac:dyDescent="0.2">
      <c r="F6" s="152"/>
      <c r="G6" s="153"/>
    </row>
    <row r="7" spans="1:12" ht="18.75" x14ac:dyDescent="0.2">
      <c r="A7" s="1712" t="s">
        <v>264</v>
      </c>
      <c r="B7" s="1713"/>
      <c r="C7" s="1713"/>
      <c r="D7" s="1713"/>
      <c r="E7" s="1713"/>
      <c r="F7" s="1713"/>
      <c r="G7" s="1713"/>
    </row>
    <row r="8" spans="1:12" x14ac:dyDescent="0.2">
      <c r="G8" s="155"/>
    </row>
    <row r="9" spans="1:12" x14ac:dyDescent="0.2">
      <c r="A9" s="1714" t="s">
        <v>1036</v>
      </c>
      <c r="B9" s="1714"/>
      <c r="C9" s="1714"/>
      <c r="D9" s="1714"/>
      <c r="E9" s="1714"/>
      <c r="F9" s="1714"/>
      <c r="G9" s="1714"/>
    </row>
    <row r="10" spans="1:12" ht="15.75" thickBot="1" x14ac:dyDescent="0.25"/>
    <row r="11" spans="1:12" x14ac:dyDescent="0.2">
      <c r="A11" s="1715" t="s">
        <v>216</v>
      </c>
      <c r="B11" s="1717" t="s">
        <v>217</v>
      </c>
      <c r="C11" s="1718"/>
      <c r="D11" s="1718"/>
      <c r="E11" s="1715" t="s">
        <v>218</v>
      </c>
      <c r="F11" s="1717" t="s">
        <v>219</v>
      </c>
      <c r="G11" s="1715" t="s">
        <v>220</v>
      </c>
    </row>
    <row r="12" spans="1:12" ht="27.6" customHeight="1" thickBot="1" x14ac:dyDescent="0.25">
      <c r="A12" s="1716"/>
      <c r="B12" s="1719"/>
      <c r="C12" s="1720"/>
      <c r="D12" s="1720"/>
      <c r="E12" s="1716"/>
      <c r="F12" s="1719"/>
      <c r="G12" s="1721"/>
      <c r="L12" s="1128"/>
    </row>
    <row r="13" spans="1:12" x14ac:dyDescent="0.2">
      <c r="A13" s="156" t="s">
        <v>221</v>
      </c>
      <c r="B13" s="147" t="s">
        <v>911</v>
      </c>
      <c r="C13" s="148"/>
      <c r="D13" s="148"/>
      <c r="E13" s="148"/>
      <c r="F13" s="157"/>
      <c r="G13" s="387"/>
    </row>
    <row r="14" spans="1:12" ht="15.75" thickBot="1" x14ac:dyDescent="0.25">
      <c r="A14" s="158"/>
      <c r="B14" s="159" t="s">
        <v>222</v>
      </c>
      <c r="C14" s="160"/>
      <c r="D14" s="160"/>
      <c r="E14" s="160"/>
      <c r="F14" s="160"/>
      <c r="G14" s="520"/>
    </row>
    <row r="15" spans="1:12" x14ac:dyDescent="0.2">
      <c r="A15" s="1722">
        <v>201</v>
      </c>
      <c r="B15" s="161" t="s">
        <v>200</v>
      </c>
      <c r="E15" s="1723">
        <v>2024</v>
      </c>
      <c r="F15" s="1733">
        <v>680.49</v>
      </c>
      <c r="G15" s="1723">
        <v>2025</v>
      </c>
    </row>
    <row r="16" spans="1:12" x14ac:dyDescent="0.2">
      <c r="A16" s="1708"/>
      <c r="B16" s="162" t="s">
        <v>912</v>
      </c>
      <c r="C16" s="163"/>
      <c r="D16" s="163"/>
      <c r="E16" s="1724"/>
      <c r="F16" s="1734"/>
      <c r="G16" s="1724"/>
      <c r="I16" s="706"/>
    </row>
    <row r="17" spans="1:12" x14ac:dyDescent="0.2">
      <c r="A17" s="1722">
        <v>202</v>
      </c>
      <c r="B17" s="161" t="s">
        <v>201</v>
      </c>
      <c r="E17" s="1728">
        <v>2024</v>
      </c>
      <c r="F17" s="1735">
        <v>444988.33</v>
      </c>
      <c r="G17" s="1707">
        <v>2025</v>
      </c>
      <c r="J17" s="706"/>
    </row>
    <row r="18" spans="1:12" x14ac:dyDescent="0.2">
      <c r="A18" s="1708"/>
      <c r="B18" s="162" t="s">
        <v>912</v>
      </c>
      <c r="C18" s="163"/>
      <c r="D18" s="163"/>
      <c r="E18" s="1724"/>
      <c r="F18" s="1734"/>
      <c r="G18" s="1708"/>
    </row>
    <row r="19" spans="1:12" x14ac:dyDescent="0.2">
      <c r="A19" s="1707">
        <v>290</v>
      </c>
      <c r="B19" s="164" t="s">
        <v>202</v>
      </c>
      <c r="C19" s="165"/>
      <c r="D19" s="165"/>
      <c r="E19" s="1728">
        <v>2024</v>
      </c>
      <c r="F19" s="1735">
        <v>-444988.33</v>
      </c>
      <c r="G19" s="1707">
        <v>2025</v>
      </c>
    </row>
    <row r="20" spans="1:12" x14ac:dyDescent="0.2">
      <c r="A20" s="1708"/>
      <c r="B20" s="162" t="s">
        <v>913</v>
      </c>
      <c r="C20" s="163"/>
      <c r="D20" s="163"/>
      <c r="E20" s="1724"/>
      <c r="F20" s="1734"/>
      <c r="G20" s="1708"/>
      <c r="J20" s="706"/>
    </row>
    <row r="21" spans="1:12" ht="15" customHeight="1" x14ac:dyDescent="0.2">
      <c r="A21" s="1707">
        <v>221</v>
      </c>
      <c r="B21" s="164" t="s">
        <v>203</v>
      </c>
      <c r="C21" s="165"/>
      <c r="D21" s="165"/>
      <c r="E21" s="1728">
        <v>2024</v>
      </c>
      <c r="F21" s="1735">
        <f>18017525.92+21989917.45+16756.64+108913+1180222.02</f>
        <v>41313335.030000009</v>
      </c>
      <c r="G21" s="1707">
        <v>2025</v>
      </c>
    </row>
    <row r="22" spans="1:12" ht="15" customHeight="1" x14ac:dyDescent="0.2">
      <c r="A22" s="1708"/>
      <c r="B22" s="162" t="s">
        <v>926</v>
      </c>
      <c r="C22" s="163"/>
      <c r="D22" s="163"/>
      <c r="E22" s="1724"/>
      <c r="F22" s="1734"/>
      <c r="G22" s="1708"/>
      <c r="J22" s="706"/>
    </row>
    <row r="23" spans="1:12" ht="15" customHeight="1" x14ac:dyDescent="0.2">
      <c r="A23" s="1707">
        <v>290</v>
      </c>
      <c r="B23" s="164" t="s">
        <v>206</v>
      </c>
      <c r="C23" s="165"/>
      <c r="D23" s="165"/>
      <c r="E23" s="1728">
        <v>2024</v>
      </c>
      <c r="F23" s="1735">
        <v>-37143650.399999999</v>
      </c>
      <c r="G23" s="1707">
        <v>2025</v>
      </c>
      <c r="J23" s="706"/>
    </row>
    <row r="24" spans="1:12" ht="15" customHeight="1" x14ac:dyDescent="0.2">
      <c r="A24" s="1708"/>
      <c r="B24" s="162" t="s">
        <v>913</v>
      </c>
      <c r="C24" s="163"/>
      <c r="D24" s="163"/>
      <c r="E24" s="1724"/>
      <c r="F24" s="1734"/>
      <c r="G24" s="1708"/>
      <c r="L24" s="706"/>
    </row>
    <row r="25" spans="1:12" x14ac:dyDescent="0.2">
      <c r="A25" s="1707">
        <v>224</v>
      </c>
      <c r="B25" s="164" t="s">
        <v>223</v>
      </c>
      <c r="C25" s="165"/>
      <c r="D25" s="165"/>
      <c r="E25" s="1728">
        <v>2024</v>
      </c>
      <c r="F25" s="1735">
        <v>127503.23</v>
      </c>
      <c r="G25" s="1707">
        <v>2025</v>
      </c>
    </row>
    <row r="26" spans="1:12" x14ac:dyDescent="0.2">
      <c r="A26" s="1708"/>
      <c r="B26" s="162" t="s">
        <v>914</v>
      </c>
      <c r="C26" s="163"/>
      <c r="D26" s="163"/>
      <c r="E26" s="1724"/>
      <c r="F26" s="1734"/>
      <c r="G26" s="1708"/>
    </row>
    <row r="27" spans="1:12" x14ac:dyDescent="0.2">
      <c r="A27" s="1707">
        <v>225</v>
      </c>
      <c r="B27" s="164" t="s">
        <v>224</v>
      </c>
      <c r="C27" s="165"/>
      <c r="D27" s="165"/>
      <c r="E27" s="1728">
        <v>2024</v>
      </c>
      <c r="F27" s="1735">
        <v>57083.360000000001</v>
      </c>
      <c r="G27" s="1707">
        <v>2025</v>
      </c>
    </row>
    <row r="28" spans="1:12" x14ac:dyDescent="0.2">
      <c r="A28" s="1708"/>
      <c r="B28" s="162" t="s">
        <v>924</v>
      </c>
      <c r="C28" s="163"/>
      <c r="D28" s="163"/>
      <c r="E28" s="1724"/>
      <c r="F28" s="1734"/>
      <c r="G28" s="1708"/>
    </row>
    <row r="29" spans="1:12" x14ac:dyDescent="0.2">
      <c r="A29" s="1707">
        <v>240</v>
      </c>
      <c r="B29" s="164" t="s">
        <v>159</v>
      </c>
      <c r="C29" s="165"/>
      <c r="D29" s="165"/>
      <c r="E29" s="1728">
        <v>2024</v>
      </c>
      <c r="F29" s="1735">
        <f>50+159960+45990.42+45243.47+0.77+508434.35</f>
        <v>759679.01</v>
      </c>
      <c r="G29" s="1707">
        <v>2025</v>
      </c>
    </row>
    <row r="30" spans="1:12" x14ac:dyDescent="0.2">
      <c r="A30" s="1708"/>
      <c r="B30" s="162" t="s">
        <v>929</v>
      </c>
      <c r="C30" s="163"/>
      <c r="D30" s="163"/>
      <c r="E30" s="1724"/>
      <c r="F30" s="1734"/>
      <c r="G30" s="1708"/>
    </row>
    <row r="31" spans="1:12" x14ac:dyDescent="0.2">
      <c r="A31" s="1707">
        <v>243</v>
      </c>
      <c r="B31" s="164" t="s">
        <v>928</v>
      </c>
      <c r="C31" s="165"/>
      <c r="D31" s="165"/>
      <c r="E31" s="1728">
        <v>2024</v>
      </c>
      <c r="F31" s="1735">
        <f>10907.97+437006.04+638.23+2818386.73</f>
        <v>3266938.9699999997</v>
      </c>
      <c r="G31" s="1707">
        <v>2025</v>
      </c>
    </row>
    <row r="32" spans="1:12" x14ac:dyDescent="0.2">
      <c r="A32" s="1708"/>
      <c r="B32" s="162" t="s">
        <v>915</v>
      </c>
      <c r="C32" s="163"/>
      <c r="D32" s="163"/>
      <c r="E32" s="1724"/>
      <c r="F32" s="1734"/>
      <c r="G32" s="1708"/>
    </row>
    <row r="33" spans="1:10" x14ac:dyDescent="0.2">
      <c r="A33" s="1707">
        <v>290</v>
      </c>
      <c r="B33" s="164" t="s">
        <v>930</v>
      </c>
      <c r="C33" s="165"/>
      <c r="D33" s="165"/>
      <c r="E33" s="1728">
        <v>2024</v>
      </c>
      <c r="F33" s="1735">
        <f>-10907.97-437006.04-638.23-2818386.73</f>
        <v>-3266938.9699999997</v>
      </c>
      <c r="G33" s="1707">
        <v>2025</v>
      </c>
    </row>
    <row r="34" spans="1:10" x14ac:dyDescent="0.2">
      <c r="A34" s="1708"/>
      <c r="B34" s="162" t="s">
        <v>913</v>
      </c>
      <c r="C34" s="163"/>
      <c r="D34" s="163"/>
      <c r="E34" s="1724"/>
      <c r="F34" s="1734"/>
      <c r="G34" s="1708"/>
    </row>
    <row r="35" spans="1:10" x14ac:dyDescent="0.2">
      <c r="A35" s="1707">
        <v>280</v>
      </c>
      <c r="B35" s="164" t="s">
        <v>932</v>
      </c>
      <c r="C35" s="165"/>
      <c r="D35" s="165"/>
      <c r="E35" s="1728">
        <v>2024</v>
      </c>
      <c r="F35" s="1735">
        <f>57834.19+91057.4+15552.67+601376.04+42575.72+610410.09</f>
        <v>1418806.1099999999</v>
      </c>
      <c r="G35" s="1707">
        <v>2025</v>
      </c>
    </row>
    <row r="36" spans="1:10" x14ac:dyDescent="0.2">
      <c r="A36" s="1708"/>
      <c r="B36" s="162" t="s">
        <v>931</v>
      </c>
      <c r="C36" s="163"/>
      <c r="D36" s="163"/>
      <c r="E36" s="1724"/>
      <c r="F36" s="1734"/>
      <c r="G36" s="1708"/>
    </row>
    <row r="37" spans="1:10" x14ac:dyDescent="0.2">
      <c r="A37" s="1707">
        <v>284</v>
      </c>
      <c r="B37" s="164" t="s">
        <v>1041</v>
      </c>
      <c r="C37" s="165"/>
      <c r="D37" s="165"/>
      <c r="E37" s="1728">
        <v>2024</v>
      </c>
      <c r="F37" s="1735">
        <v>728.84</v>
      </c>
      <c r="G37" s="1707">
        <v>2025</v>
      </c>
    </row>
    <row r="38" spans="1:10" x14ac:dyDescent="0.2">
      <c r="A38" s="1708"/>
      <c r="B38" s="162" t="s">
        <v>931</v>
      </c>
      <c r="C38" s="163"/>
      <c r="D38" s="163"/>
      <c r="E38" s="1724"/>
      <c r="F38" s="1734"/>
      <c r="G38" s="1708"/>
    </row>
    <row r="39" spans="1:10" x14ac:dyDescent="0.2">
      <c r="A39" s="1707">
        <v>288</v>
      </c>
      <c r="B39" s="164" t="s">
        <v>935</v>
      </c>
      <c r="C39" s="165"/>
      <c r="D39" s="165"/>
      <c r="E39" s="1728">
        <v>2024</v>
      </c>
      <c r="F39" s="1735">
        <f>1390199.25+39121.31</f>
        <v>1429320.56</v>
      </c>
      <c r="G39" s="1707">
        <v>2025</v>
      </c>
    </row>
    <row r="40" spans="1:10" ht="15.75" thickBot="1" x14ac:dyDescent="0.25">
      <c r="A40" s="1708"/>
      <c r="B40" s="162" t="s">
        <v>931</v>
      </c>
      <c r="C40" s="163"/>
      <c r="D40" s="163"/>
      <c r="E40" s="1731"/>
      <c r="F40" s="1736"/>
      <c r="G40" s="1732"/>
    </row>
    <row r="41" spans="1:10" x14ac:dyDescent="0.2">
      <c r="A41" s="156" t="s">
        <v>225</v>
      </c>
      <c r="B41" s="147" t="s">
        <v>1039</v>
      </c>
      <c r="C41" s="148"/>
      <c r="D41" s="1212"/>
      <c r="E41" s="148"/>
      <c r="F41" s="525"/>
      <c r="G41" s="389"/>
      <c r="J41" s="706"/>
    </row>
    <row r="42" spans="1:10" ht="15.75" thickBot="1" x14ac:dyDescent="0.25">
      <c r="A42" s="158"/>
      <c r="B42" s="159" t="s">
        <v>222</v>
      </c>
      <c r="C42" s="160"/>
      <c r="D42" s="1213"/>
      <c r="E42" s="160"/>
      <c r="F42" s="526"/>
      <c r="G42" s="388"/>
    </row>
    <row r="43" spans="1:10" x14ac:dyDescent="0.25">
      <c r="A43" s="1726">
        <v>235</v>
      </c>
      <c r="B43" s="161" t="s">
        <v>200</v>
      </c>
      <c r="E43" s="1708"/>
      <c r="F43" s="527"/>
      <c r="G43" s="1007"/>
    </row>
    <row r="44" spans="1:10" x14ac:dyDescent="0.25">
      <c r="A44" s="1708"/>
      <c r="B44" s="162" t="s">
        <v>916</v>
      </c>
      <c r="C44" s="163"/>
      <c r="D44" s="163"/>
      <c r="E44" s="1727"/>
      <c r="F44" s="528"/>
      <c r="G44" s="1008"/>
    </row>
    <row r="45" spans="1:10" x14ac:dyDescent="0.2">
      <c r="A45" s="166"/>
      <c r="B45" s="164" t="s">
        <v>201</v>
      </c>
      <c r="C45" s="165"/>
      <c r="D45" s="165"/>
      <c r="E45" s="1728"/>
      <c r="F45" s="524"/>
      <c r="G45" s="1729"/>
    </row>
    <row r="46" spans="1:10" x14ac:dyDescent="0.2">
      <c r="A46" s="167"/>
      <c r="B46" s="162"/>
      <c r="C46" s="163"/>
      <c r="D46" s="163"/>
      <c r="E46" s="1724"/>
      <c r="F46" s="523"/>
      <c r="G46" s="1729"/>
    </row>
    <row r="47" spans="1:10" x14ac:dyDescent="0.2">
      <c r="A47" s="166"/>
      <c r="B47" s="164" t="s">
        <v>202</v>
      </c>
      <c r="C47" s="165"/>
      <c r="D47" s="165"/>
      <c r="E47" s="1728"/>
      <c r="F47" s="524"/>
      <c r="G47" s="1729"/>
    </row>
    <row r="48" spans="1:10" ht="15.75" thickBot="1" x14ac:dyDescent="0.25">
      <c r="A48" s="168"/>
      <c r="B48" s="161"/>
      <c r="E48" s="1730"/>
      <c r="F48" s="522"/>
      <c r="G48" s="1728"/>
    </row>
    <row r="49" spans="1:15" x14ac:dyDescent="0.2">
      <c r="A49" s="169"/>
      <c r="B49" s="148" t="s">
        <v>1035</v>
      </c>
      <c r="C49" s="148"/>
      <c r="D49" s="148"/>
      <c r="E49" s="148"/>
      <c r="F49" s="148"/>
      <c r="G49" s="387"/>
    </row>
    <row r="50" spans="1:15" ht="15.75" thickBot="1" x14ac:dyDescent="0.25">
      <c r="A50" s="158"/>
      <c r="B50" s="170" t="s">
        <v>937</v>
      </c>
      <c r="C50" s="170"/>
      <c r="D50" s="170"/>
      <c r="E50" s="160"/>
      <c r="F50" s="160"/>
      <c r="G50" s="707">
        <f>SUM(F15:F40)+F44</f>
        <v>7963486.2300000135</v>
      </c>
      <c r="I50" s="706"/>
      <c r="O50" s="706">
        <f>Bilans!C38-'Załącznik 12N'!G50</f>
        <v>-1.3038516044616699E-8</v>
      </c>
    </row>
    <row r="51" spans="1:15" x14ac:dyDescent="0.2">
      <c r="A51" s="154" t="s">
        <v>226</v>
      </c>
    </row>
    <row r="52" spans="1:15" x14ac:dyDescent="0.2">
      <c r="F52" s="1725"/>
      <c r="G52" s="1725"/>
    </row>
    <row r="54" spans="1:15" s="123" customFormat="1" x14ac:dyDescent="0.2">
      <c r="A54" s="123" t="s">
        <v>299</v>
      </c>
      <c r="E54" s="1551" t="s">
        <v>298</v>
      </c>
      <c r="F54" s="1551"/>
    </row>
    <row r="55" spans="1:15" s="123" customFormat="1" x14ac:dyDescent="0.2">
      <c r="A55" s="123" t="s">
        <v>291</v>
      </c>
      <c r="E55" s="138" t="s">
        <v>290</v>
      </c>
      <c r="F55" s="138"/>
    </row>
  </sheetData>
  <mergeCells count="70">
    <mergeCell ref="F39:F40"/>
    <mergeCell ref="F37:F38"/>
    <mergeCell ref="F35:F36"/>
    <mergeCell ref="F33:F34"/>
    <mergeCell ref="F31:F32"/>
    <mergeCell ref="F17:F18"/>
    <mergeCell ref="F19:F20"/>
    <mergeCell ref="F21:F22"/>
    <mergeCell ref="F23:F24"/>
    <mergeCell ref="F29:F30"/>
    <mergeCell ref="F27:F28"/>
    <mergeCell ref="F25:F26"/>
    <mergeCell ref="E37:E38"/>
    <mergeCell ref="E39:E40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F15:F16"/>
    <mergeCell ref="E31:E32"/>
    <mergeCell ref="E33:E34"/>
    <mergeCell ref="E35:E36"/>
    <mergeCell ref="E17:E18"/>
    <mergeCell ref="E19:E20"/>
    <mergeCell ref="E23:E24"/>
    <mergeCell ref="E21:E22"/>
    <mergeCell ref="E25:E26"/>
    <mergeCell ref="A29:A30"/>
    <mergeCell ref="A27:A28"/>
    <mergeCell ref="A25:A26"/>
    <mergeCell ref="E27:E28"/>
    <mergeCell ref="E29:E30"/>
    <mergeCell ref="A33:A34"/>
    <mergeCell ref="A35:A36"/>
    <mergeCell ref="A39:A40"/>
    <mergeCell ref="A37:A38"/>
    <mergeCell ref="A31:A32"/>
    <mergeCell ref="F52:G52"/>
    <mergeCell ref="E54:F54"/>
    <mergeCell ref="A43:A44"/>
    <mergeCell ref="E43:E44"/>
    <mergeCell ref="E45:E46"/>
    <mergeCell ref="G45:G46"/>
    <mergeCell ref="E47:E48"/>
    <mergeCell ref="G47:G48"/>
    <mergeCell ref="A23:A24"/>
    <mergeCell ref="F2:G2"/>
    <mergeCell ref="A4:B4"/>
    <mergeCell ref="A5:B5"/>
    <mergeCell ref="A7:G7"/>
    <mergeCell ref="A9:G9"/>
    <mergeCell ref="A11:A12"/>
    <mergeCell ref="B11:D12"/>
    <mergeCell ref="E11:E12"/>
    <mergeCell ref="F11:F12"/>
    <mergeCell ref="G11:G12"/>
    <mergeCell ref="A15:A16"/>
    <mergeCell ref="A17:A18"/>
    <mergeCell ref="A19:A20"/>
    <mergeCell ref="A21:A22"/>
    <mergeCell ref="E15:E1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Zakresy nazwane</vt:lpstr>
      </vt:variant>
      <vt:variant>
        <vt:i4>12</vt:i4>
      </vt:variant>
    </vt:vector>
  </HeadingPairs>
  <TitlesOfParts>
    <vt:vector size="34" baseType="lpstr">
      <vt:lpstr>Bilans</vt:lpstr>
      <vt:lpstr>RZiS</vt:lpstr>
      <vt:lpstr>Fundusz</vt:lpstr>
      <vt:lpstr>Załącznik 21</vt:lpstr>
      <vt:lpstr>Załącznik 9</vt:lpstr>
      <vt:lpstr>Załącznik 10</vt:lpstr>
      <vt:lpstr>Załącznik 11</vt:lpstr>
      <vt:lpstr>Załącznik 12N</vt:lpstr>
      <vt:lpstr>Załącznik 12Z</vt:lpstr>
      <vt:lpstr>Załącznik 13</vt:lpstr>
      <vt:lpstr>Załącznik 13A</vt:lpstr>
      <vt:lpstr>Załącznik 13B</vt:lpstr>
      <vt:lpstr>Załącznik 14</vt:lpstr>
      <vt:lpstr>Załącznik 14A</vt:lpstr>
      <vt:lpstr>Załącznik 15</vt:lpstr>
      <vt:lpstr>Załącznik 16</vt:lpstr>
      <vt:lpstr>Załącznik 16A</vt:lpstr>
      <vt:lpstr>Załącznik 17</vt:lpstr>
      <vt:lpstr>Załącznik 18</vt:lpstr>
      <vt:lpstr>Załącznik 19</vt:lpstr>
      <vt:lpstr>Załącznik 22</vt:lpstr>
      <vt:lpstr>Załącznik 23 </vt:lpstr>
      <vt:lpstr>Bilans!Obszar_wydruku</vt:lpstr>
      <vt:lpstr>'Załącznik 10'!Obszar_wydruku</vt:lpstr>
      <vt:lpstr>'Załącznik 11'!Obszar_wydruku</vt:lpstr>
      <vt:lpstr>'Załącznik 12N'!Obszar_wydruku</vt:lpstr>
      <vt:lpstr>'Załącznik 12Z'!Obszar_wydruku</vt:lpstr>
      <vt:lpstr>'Załącznik 13A'!Obszar_wydruku</vt:lpstr>
      <vt:lpstr>'Załącznik 13B'!Obszar_wydruku</vt:lpstr>
      <vt:lpstr>'Załącznik 14'!Obszar_wydruku</vt:lpstr>
      <vt:lpstr>'Załącznik 14A'!Obszar_wydruku</vt:lpstr>
      <vt:lpstr>'Załącznik 17'!Obszar_wydruku</vt:lpstr>
      <vt:lpstr>'Załącznik 18'!Obszar_wydruku</vt:lpstr>
      <vt:lpstr>'Załącznik 19'!Obszar_wydruku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Wyrębek Dorota</cp:lastModifiedBy>
  <cp:lastPrinted>2025-04-11T08:56:27Z</cp:lastPrinted>
  <dcterms:created xsi:type="dcterms:W3CDTF">2005-12-16T09:59:57Z</dcterms:created>
  <dcterms:modified xsi:type="dcterms:W3CDTF">2025-04-11T09:46:01Z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