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Informacja dodatkowa do bilansu" sheetId="2" r:id="rId1"/>
    <sheet name="Arkusz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4" i="2" l="1"/>
  <c r="G20" i="2" l="1"/>
  <c r="G10" i="2"/>
  <c r="D20" i="2"/>
  <c r="D11" i="2" l="1"/>
  <c r="C510" i="2" l="1"/>
  <c r="F168" i="2" l="1"/>
  <c r="D168" i="2"/>
  <c r="C584" i="2" l="1"/>
  <c r="C576" i="2"/>
  <c r="C552" i="2"/>
  <c r="C559" i="2"/>
  <c r="C554" i="2"/>
  <c r="C351" i="2" l="1"/>
  <c r="C345" i="2"/>
  <c r="C408" i="2"/>
  <c r="C407" i="2" s="1"/>
  <c r="C416" i="2" s="1"/>
  <c r="B120" i="2" l="1"/>
  <c r="C495" i="2" l="1"/>
  <c r="C523" i="2" l="1"/>
  <c r="C509" i="2" s="1"/>
  <c r="C482" i="2"/>
  <c r="C489" i="2"/>
  <c r="C537" i="2" l="1"/>
  <c r="C528" i="2"/>
  <c r="C530" i="2"/>
  <c r="C538" i="2" l="1"/>
  <c r="C533" i="2"/>
  <c r="C535" i="2"/>
  <c r="C334" i="2" l="1"/>
  <c r="C336" i="2"/>
  <c r="C325" i="2"/>
  <c r="C306" i="2" l="1"/>
  <c r="C287" i="2"/>
  <c r="C220" i="2"/>
  <c r="C219" i="2"/>
  <c r="C218" i="2"/>
  <c r="C222" i="2" l="1"/>
  <c r="C221" i="2" s="1"/>
  <c r="C206" i="2"/>
  <c r="E14" i="2" l="1"/>
  <c r="E13" i="2" s="1"/>
  <c r="E24" i="2"/>
  <c r="D15" i="2"/>
  <c r="D14" i="2"/>
  <c r="D13" i="2" s="1"/>
  <c r="D16" i="2" s="1"/>
  <c r="H10" i="2"/>
  <c r="H12" i="2"/>
  <c r="G9" i="2"/>
  <c r="B15" i="2"/>
  <c r="B11" i="2"/>
  <c r="I11" i="2"/>
  <c r="H15" i="2"/>
  <c r="G13" i="2"/>
  <c r="E9" i="2"/>
  <c r="D9" i="2"/>
  <c r="B10" i="2"/>
  <c r="G14" i="2"/>
  <c r="G19" i="2"/>
  <c r="G24" i="2"/>
  <c r="G23" i="2" s="1"/>
  <c r="G31" i="2"/>
  <c r="G33" i="2"/>
  <c r="G16" i="2" l="1"/>
  <c r="E16" i="2"/>
  <c r="G26" i="2"/>
  <c r="G34" i="2" s="1"/>
  <c r="B530" i="2" l="1"/>
  <c r="B547" i="2"/>
  <c r="B546" i="2"/>
  <c r="B552" i="2"/>
  <c r="B553" i="2"/>
  <c r="B559" i="2"/>
  <c r="B576" i="2"/>
  <c r="B605" i="2"/>
  <c r="B510" i="2" l="1"/>
  <c r="B509" i="2"/>
  <c r="B506" i="2"/>
  <c r="B503" i="2"/>
  <c r="B495" i="2"/>
  <c r="B489" i="2"/>
  <c r="B488" i="2"/>
  <c r="B486" i="2"/>
  <c r="B483" i="2"/>
  <c r="B482" i="2"/>
  <c r="B459" i="2"/>
  <c r="B325" i="2"/>
  <c r="B494" i="2" l="1"/>
  <c r="B89" i="2"/>
  <c r="C89" i="2"/>
  <c r="D89" i="2"/>
  <c r="H398" i="2" l="1"/>
  <c r="G398" i="2"/>
  <c r="F398" i="2"/>
  <c r="E398" i="2"/>
  <c r="D398" i="2"/>
  <c r="C398" i="2"/>
  <c r="B398" i="2"/>
  <c r="H397" i="2"/>
  <c r="G397" i="2"/>
  <c r="F397" i="2"/>
  <c r="E397" i="2"/>
  <c r="D397" i="2"/>
  <c r="C397" i="2"/>
  <c r="B397" i="2"/>
  <c r="I396" i="2"/>
  <c r="I395" i="2"/>
  <c r="I394" i="2"/>
  <c r="I397" i="2" l="1"/>
  <c r="C326" i="2" l="1"/>
  <c r="B186" i="2" l="1"/>
  <c r="D619" i="2" l="1"/>
  <c r="D625" i="2" s="1"/>
  <c r="C619" i="2"/>
  <c r="C625" i="2" s="1"/>
  <c r="E619" i="2"/>
  <c r="E625" i="2" s="1"/>
  <c r="B619" i="2"/>
  <c r="B625" i="2" s="1"/>
  <c r="C602" i="2"/>
  <c r="B602" i="2"/>
  <c r="C599" i="2"/>
  <c r="B599" i="2"/>
  <c r="C586" i="2"/>
  <c r="B586" i="2"/>
  <c r="C583" i="2"/>
  <c r="B583" i="2"/>
  <c r="C571" i="2"/>
  <c r="B571" i="2"/>
  <c r="C567" i="2"/>
  <c r="B567" i="2"/>
  <c r="B549" i="2"/>
  <c r="C544" i="2"/>
  <c r="B544" i="2"/>
  <c r="B538" i="2"/>
  <c r="C506" i="2"/>
  <c r="C503" i="2"/>
  <c r="C494" i="2" s="1"/>
  <c r="C481" i="2"/>
  <c r="B481" i="2"/>
  <c r="C457" i="2"/>
  <c r="B457" i="2"/>
  <c r="C452" i="2"/>
  <c r="B452" i="2"/>
  <c r="C446" i="2"/>
  <c r="B446" i="2"/>
  <c r="C441" i="2"/>
  <c r="B441" i="2"/>
  <c r="B407" i="2"/>
  <c r="B416" i="2" s="1"/>
  <c r="I392" i="2"/>
  <c r="I391" i="2"/>
  <c r="I390" i="2"/>
  <c r="I389" i="2"/>
  <c r="H388" i="2"/>
  <c r="G388" i="2"/>
  <c r="F388" i="2"/>
  <c r="E388" i="2"/>
  <c r="D388" i="2"/>
  <c r="C388" i="2"/>
  <c r="B388" i="2"/>
  <c r="I387" i="2"/>
  <c r="I386" i="2"/>
  <c r="I385" i="2"/>
  <c r="H384" i="2"/>
  <c r="G384" i="2"/>
  <c r="F384" i="2"/>
  <c r="E384" i="2"/>
  <c r="D384" i="2"/>
  <c r="C384" i="2"/>
  <c r="B384" i="2"/>
  <c r="I383" i="2"/>
  <c r="C364" i="2"/>
  <c r="B364" i="2"/>
  <c r="C352" i="2"/>
  <c r="C344" i="2"/>
  <c r="B344" i="2"/>
  <c r="B326" i="2"/>
  <c r="C315" i="2"/>
  <c r="C337" i="2" s="1"/>
  <c r="B315" i="2"/>
  <c r="B307" i="2"/>
  <c r="C286" i="2"/>
  <c r="B286" i="2"/>
  <c r="C274" i="2"/>
  <c r="B274" i="2"/>
  <c r="E255" i="2"/>
  <c r="E258" i="2" s="1"/>
  <c r="D255" i="2"/>
  <c r="D258" i="2" s="1"/>
  <c r="C255" i="2"/>
  <c r="C258" i="2" s="1"/>
  <c r="B255" i="2"/>
  <c r="B258" i="2" s="1"/>
  <c r="E247" i="2"/>
  <c r="E250" i="2" s="1"/>
  <c r="D247" i="2"/>
  <c r="D250" i="2" s="1"/>
  <c r="C247" i="2"/>
  <c r="C250" i="2" s="1"/>
  <c r="B247" i="2"/>
  <c r="B250" i="2" s="1"/>
  <c r="C233" i="2"/>
  <c r="B233" i="2"/>
  <c r="B221" i="2"/>
  <c r="C217" i="2"/>
  <c r="B217" i="2"/>
  <c r="C213" i="2"/>
  <c r="B213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E186" i="2"/>
  <c r="E207" i="2" s="1"/>
  <c r="D186" i="2"/>
  <c r="D207" i="2" s="1"/>
  <c r="C186" i="2"/>
  <c r="C207" i="2" s="1"/>
  <c r="B207" i="2"/>
  <c r="F185" i="2"/>
  <c r="F184" i="2"/>
  <c r="F183" i="2"/>
  <c r="F182" i="2"/>
  <c r="F181" i="2"/>
  <c r="F180" i="2"/>
  <c r="F179" i="2"/>
  <c r="F178" i="2"/>
  <c r="F177" i="2"/>
  <c r="E171" i="2"/>
  <c r="D171" i="2"/>
  <c r="C171" i="2"/>
  <c r="G170" i="2"/>
  <c r="G169" i="2"/>
  <c r="F171" i="2"/>
  <c r="G167" i="2"/>
  <c r="G166" i="2"/>
  <c r="G159" i="2"/>
  <c r="F159" i="2"/>
  <c r="E159" i="2"/>
  <c r="G152" i="2"/>
  <c r="F152" i="2"/>
  <c r="E152" i="2"/>
  <c r="C120" i="2"/>
  <c r="I109" i="2"/>
  <c r="H109" i="2"/>
  <c r="G109" i="2"/>
  <c r="F109" i="2"/>
  <c r="E109" i="2"/>
  <c r="D109" i="2"/>
  <c r="C109" i="2"/>
  <c r="B109" i="2"/>
  <c r="D87" i="2"/>
  <c r="C87" i="2"/>
  <c r="B87" i="2"/>
  <c r="E86" i="2"/>
  <c r="E85" i="2"/>
  <c r="E84" i="2"/>
  <c r="E81" i="2"/>
  <c r="E80" i="2"/>
  <c r="E79" i="2"/>
  <c r="D78" i="2"/>
  <c r="C78" i="2"/>
  <c r="B78" i="2"/>
  <c r="E77" i="2"/>
  <c r="E76" i="2"/>
  <c r="D75" i="2"/>
  <c r="C75" i="2"/>
  <c r="B75" i="2"/>
  <c r="E74" i="2"/>
  <c r="E89" i="2" s="1"/>
  <c r="B63" i="2"/>
  <c r="B61" i="2"/>
  <c r="B53" i="2"/>
  <c r="B50" i="2"/>
  <c r="B44" i="2"/>
  <c r="B41" i="2"/>
  <c r="H33" i="2"/>
  <c r="F33" i="2"/>
  <c r="E33" i="2"/>
  <c r="D33" i="2"/>
  <c r="C33" i="2"/>
  <c r="B33" i="2"/>
  <c r="H31" i="2"/>
  <c r="F31" i="2"/>
  <c r="E31" i="2"/>
  <c r="D31" i="2"/>
  <c r="C31" i="2"/>
  <c r="B31" i="2"/>
  <c r="I30" i="2"/>
  <c r="I29" i="2"/>
  <c r="I25" i="2"/>
  <c r="I24" i="2"/>
  <c r="H23" i="2"/>
  <c r="F23" i="2"/>
  <c r="E23" i="2"/>
  <c r="D23" i="2"/>
  <c r="C23" i="2"/>
  <c r="B23" i="2"/>
  <c r="I21" i="2"/>
  <c r="H19" i="2"/>
  <c r="F19" i="2"/>
  <c r="E19" i="2"/>
  <c r="D19" i="2"/>
  <c r="C19" i="2"/>
  <c r="B19" i="2"/>
  <c r="I15" i="2"/>
  <c r="I14" i="2"/>
  <c r="H13" i="2"/>
  <c r="F13" i="2"/>
  <c r="C13" i="2"/>
  <c r="B13" i="2"/>
  <c r="I12" i="2"/>
  <c r="H9" i="2"/>
  <c r="F9" i="2"/>
  <c r="C9" i="2"/>
  <c r="C16" i="2" s="1"/>
  <c r="B9" i="2"/>
  <c r="F16" i="2" l="1"/>
  <c r="I398" i="2"/>
  <c r="B56" i="2"/>
  <c r="B451" i="2"/>
  <c r="E393" i="2"/>
  <c r="E399" i="2" s="1"/>
  <c r="B225" i="2"/>
  <c r="C357" i="2"/>
  <c r="D393" i="2"/>
  <c r="D399" i="2" s="1"/>
  <c r="H393" i="2"/>
  <c r="H399" i="2" s="1"/>
  <c r="B440" i="2"/>
  <c r="B565" i="2"/>
  <c r="B577" i="2" s="1"/>
  <c r="F186" i="2"/>
  <c r="F207" i="2" s="1"/>
  <c r="C225" i="2"/>
  <c r="B47" i="2"/>
  <c r="D82" i="2"/>
  <c r="D90" i="2" s="1"/>
  <c r="I384" i="2"/>
  <c r="B560" i="2"/>
  <c r="I23" i="2"/>
  <c r="I13" i="2"/>
  <c r="I10" i="2"/>
  <c r="I9" i="2" s="1"/>
  <c r="E75" i="2"/>
  <c r="E78" i="2"/>
  <c r="C451" i="2"/>
  <c r="B16" i="2"/>
  <c r="C82" i="2"/>
  <c r="C90" i="2" s="1"/>
  <c r="I388" i="2"/>
  <c r="G168" i="2"/>
  <c r="G171" i="2" s="1"/>
  <c r="B26" i="2"/>
  <c r="F26" i="2"/>
  <c r="I20" i="2"/>
  <c r="I19" i="2" s="1"/>
  <c r="I31" i="2"/>
  <c r="E87" i="2"/>
  <c r="B393" i="2"/>
  <c r="B399" i="2" s="1"/>
  <c r="F393" i="2"/>
  <c r="F399" i="2" s="1"/>
  <c r="C440" i="2"/>
  <c r="B524" i="2"/>
  <c r="B594" i="2"/>
  <c r="B609" i="2"/>
  <c r="C26" i="2"/>
  <c r="B82" i="2"/>
  <c r="B90" i="2" s="1"/>
  <c r="B337" i="2"/>
  <c r="B357" i="2"/>
  <c r="C393" i="2"/>
  <c r="C399" i="2" s="1"/>
  <c r="G393" i="2"/>
  <c r="G399" i="2" s="1"/>
  <c r="C524" i="2"/>
  <c r="C549" i="2"/>
  <c r="C560" i="2" s="1"/>
  <c r="C594" i="2"/>
  <c r="C609" i="2"/>
  <c r="E26" i="2"/>
  <c r="H16" i="2"/>
  <c r="D26" i="2"/>
  <c r="H26" i="2"/>
  <c r="I33" i="2"/>
  <c r="C565" i="2"/>
  <c r="C577" i="2" s="1"/>
  <c r="C307" i="2"/>
  <c r="I26" i="2" l="1"/>
  <c r="B64" i="2"/>
  <c r="B34" i="2"/>
  <c r="E34" i="2"/>
  <c r="I393" i="2"/>
  <c r="I399" i="2" s="1"/>
  <c r="F34" i="2"/>
  <c r="E82" i="2"/>
  <c r="E90" i="2" s="1"/>
  <c r="I16" i="2"/>
  <c r="C34" i="2"/>
  <c r="D34" i="2"/>
  <c r="H34" i="2"/>
  <c r="I34" i="2" l="1"/>
</calcChain>
</file>

<file path=xl/sharedStrings.xml><?xml version="1.0" encoding="utf-8"?>
<sst xmlns="http://schemas.openxmlformats.org/spreadsheetml/2006/main" count="687" uniqueCount="451">
  <si>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</si>
  <si>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</si>
  <si>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</si>
  <si>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</si>
  <si>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</si>
  <si>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</si>
  <si>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</si>
  <si>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</si>
  <si>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</si>
  <si>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</si>
  <si>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</si>
  <si>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</si>
  <si>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</si>
  <si>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</si>
  <si>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</si>
  <si>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</si>
  <si>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</si>
  <si>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</si>
  <si>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</si>
  <si>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</si>
  <si>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</si>
  <si>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</si>
  <si>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</si>
  <si>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</si>
  <si>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</si>
  <si>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</si>
  <si>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</si>
  <si>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</si>
  <si>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</si>
  <si>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</si>
  <si>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</si>
  <si>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</si>
  <si>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</si>
  <si>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</si>
  <si>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</si>
  <si>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</si>
  <si>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</si>
  <si>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</si>
  <si>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</si>
  <si>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</si>
  <si>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</si>
  <si>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</si>
  <si>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</si>
  <si>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</si>
  <si>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</si>
  <si>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</si>
  <si>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</si>
  <si>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</si>
  <si>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</si>
  <si>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</si>
  <si>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</si>
  <si>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</si>
  <si>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</si>
  <si>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</si>
  <si>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</si>
  <si>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</si>
  <si>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</si>
  <si>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</si>
  <si>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</si>
  <si>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</si>
  <si>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</si>
  <si>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</si>
  <si>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</si>
  <si>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</si>
  <si>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</si>
  <si>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</si>
  <si>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</si>
  <si>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</si>
  <si>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</si>
  <si>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</si>
  <si>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</si>
  <si>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</si>
  <si>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</si>
  <si>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</si>
  <si>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</si>
  <si>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</si>
  <si>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</si>
  <si>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</si>
  <si>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</si>
  <si>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</si>
  <si>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</si>
  <si>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</si>
  <si>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</si>
  <si>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</si>
  <si>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</si>
  <si>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</si>
  <si>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</si>
  <si>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</si>
  <si>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</si>
  <si>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</si>
  <si>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</si>
  <si>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</si>
  <si>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</si>
  <si>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</si>
  <si>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</si>
  <si>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</si>
  <si>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</si>
  <si>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</si>
  <si>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</si>
  <si>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</si>
  <si>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</si>
  <si>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</si>
  <si>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</si>
  <si>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</si>
  <si>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</si>
  <si>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</si>
  <si>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</si>
  <si>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</si>
  <si>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</si>
  <si>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</si>
  <si>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</si>
  <si>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</si>
  <si>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</si>
  <si>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</si>
  <si>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</si>
  <si>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</si>
  <si>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</si>
  <si>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</si>
  <si>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</si>
  <si>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</si>
  <si>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</si>
  <si>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</si>
  <si>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</si>
  <si>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</si>
  <si>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</si>
  <si>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</si>
  <si>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</si>
  <si>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</si>
  <si>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</si>
  <si>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</si>
  <si>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</si>
  <si>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</si>
  <si>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</si>
  <si>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</si>
  <si>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</si>
  <si>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</si>
  <si>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</si>
  <si>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</si>
  <si>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</si>
  <si>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</si>
  <si>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</si>
  <si>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</si>
  <si>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</si>
  <si>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</si>
  <si>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</si>
  <si>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</si>
  <si>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</si>
  <si>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</si>
  <si>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</si>
  <si>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</si>
  <si>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</si>
  <si>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</si>
  <si>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</si>
  <si>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</si>
  <si>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</si>
  <si>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</si>
  <si>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</si>
  <si>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</si>
  <si>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</si>
  <si>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</si>
  <si>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</si>
  <si>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</si>
  <si>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</si>
  <si>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</si>
  <si>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</si>
  <si>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</si>
  <si>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</si>
  <si>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</si>
  <si>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</si>
  <si>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</si>
  <si>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</si>
  <si>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</si>
  <si>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</si>
  <si>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</si>
  <si>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</si>
  <si>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</si>
  <si>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</si>
  <si>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</si>
  <si>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</si>
  <si>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</si>
  <si>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</si>
  <si>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</si>
  <si>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</si>
  <si>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</si>
  <si>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</si>
  <si>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</si>
  <si>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</si>
  <si>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</si>
  <si>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</si>
  <si>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</si>
  <si>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</si>
  <si>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</si>
  <si>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</si>
  <si>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</si>
  <si>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</si>
  <si>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</si>
  <si>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</si>
  <si>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</si>
  <si>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</si>
  <si>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</si>
  <si>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</si>
  <si>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</si>
  <si>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</si>
  <si>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</si>
  <si>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</si>
  <si>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</si>
  <si>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</si>
  <si>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</si>
  <si>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</si>
  <si>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</si>
  <si>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</si>
  <si>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</si>
  <si>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</si>
  <si>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</si>
  <si>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</si>
  <si>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</si>
  <si>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</si>
  <si>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</si>
  <si>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</si>
  <si>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</si>
  <si>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</si>
  <si>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</si>
  <si>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</si>
  <si>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</si>
  <si>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</si>
  <si>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</si>
  <si>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</si>
  <si>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</si>
  <si>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</si>
  <si>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</si>
  <si>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</si>
  <si>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</si>
  <si>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</si>
  <si>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</si>
  <si>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</si>
  <si>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</si>
  <si>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</si>
  <si>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</si>
  <si>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</si>
  <si>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</si>
  <si>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</si>
  <si>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</si>
  <si>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</si>
  <si>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</si>
  <si>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</si>
  <si>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</si>
  <si>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</si>
  <si>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poniesione w związku z trwającą epidemią COVID-19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</si>
  <si>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</si>
  <si>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</si>
  <si>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</si>
  <si>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</si>
  <si>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</si>
  <si>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</si>
  <si>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</si>
  <si>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</si>
  <si>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</si>
  <si>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</si>
  <si>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</si>
  <si>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</si>
  <si>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</si>
  <si>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</si>
  <si>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</si>
  <si>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</si>
  <si>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</si>
  <si>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</si>
  <si>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</si>
  <si>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</si>
  <si>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</si>
  <si>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</si>
  <si>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</si>
  <si>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</si>
  <si>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</si>
  <si>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</si>
  <si>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</si>
  <si>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</si>
  <si>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</si>
  <si>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</si>
  <si>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</si>
  <si>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</si>
  <si>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</si>
  <si>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</si>
  <si>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</si>
  <si>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</si>
  <si>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</si>
  <si>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</si>
  <si>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</si>
  <si>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</si>
  <si>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</si>
  <si>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</si>
  <si>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</si>
  <si>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</si>
  <si>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</si>
  <si>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</si>
  <si>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</si>
  <si>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</si>
  <si>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</si>
  <si>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</si>
  <si>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</si>
  <si>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</si>
  <si>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</si>
  <si>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</si>
  <si>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</si>
  <si>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</si>
  <si>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</si>
  <si>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</si>
  <si>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</si>
  <si>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</si>
  <si>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</si>
  <si>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</si>
  <si>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</si>
  <si>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</si>
  <si>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</si>
  <si>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</si>
  <si>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</si>
  <si>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</si>
  <si>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</si>
  <si>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</si>
  <si>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</si>
  <si>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</si>
  <si>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</si>
  <si>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</si>
  <si>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</si>
  <si>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</si>
  <si>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</si>
  <si>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</si>
  <si>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</si>
  <si>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</si>
  <si>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</si>
  <si>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</si>
  <si>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</si>
  <si>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</si>
  <si>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</si>
  <si>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</si>
  <si>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</si>
  <si>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</si>
  <si>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</si>
  <si>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</si>
  <si>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</si>
  <si>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</si>
  <si>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</si>
  <si>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</si>
  <si>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</si>
  <si>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</si>
  <si>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</si>
  <si>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</si>
  <si>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</si>
  <si>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</si>
  <si>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</si>
  <si>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</si>
  <si>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</si>
  <si>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</si>
  <si>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</si>
  <si>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</si>
  <si>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</si>
  <si>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</si>
  <si>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</si>
  <si>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 m. st. Warszawa SA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</si>
  <si>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</si>
  <si>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</si>
  <si>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</si>
  <si>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</si>
  <si>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</si>
  <si>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</si>
  <si>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</si>
  <si>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</si>
  <si>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</si>
  <si>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</si>
  <si>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</si>
  <si>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</si>
  <si>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</si>
  <si>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</si>
  <si>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</si>
  <si>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</si>
  <si>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</si>
  <si>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</si>
  <si>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</si>
  <si>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</si>
  <si>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</si>
  <si>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</si>
  <si>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</si>
  <si>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</si>
  <si>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</si>
  <si>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</si>
  <si>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Inne rezerwy:</t>
  </si>
  <si>
    <t>Inne sprawy sporne: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</si>
  <si>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</si>
  <si>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Przekreślona pusta tabela</t>
  </si>
  <si>
    <t>Pusta tabela</t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</si>
  <si>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</si>
  <si>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</si>
  <si>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</si>
  <si>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</si>
  <si>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</si>
  <si>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</si>
  <si>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</si>
  <si>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</si>
  <si>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Kolumna1</t>
  </si>
  <si>
    <t>Kolumna2</t>
  </si>
  <si>
    <t>Kolumna5</t>
  </si>
  <si>
    <t>Kolumna6</t>
  </si>
  <si>
    <t>Kolumna7</t>
  </si>
  <si>
    <t>Kwota2</t>
  </si>
  <si>
    <t>w tym na aktywach2</t>
  </si>
  <si>
    <t>Długoterminowe aktywa niefinansowe2</t>
  </si>
  <si>
    <t>Długoterminowe aktywa niefinansowe3</t>
  </si>
  <si>
    <t>Długoterminowe aktywa niefinansowe4</t>
  </si>
  <si>
    <t>Długoterminowe aktywa niefinansowe5</t>
  </si>
  <si>
    <t>Długoterminowe aktywa finansowe2</t>
  </si>
  <si>
    <t>Długoterminowe aktywa finansowe3</t>
  </si>
  <si>
    <t>Długoterminowe aktywa finansowe 2</t>
  </si>
  <si>
    <t>Długoterminowe aktywa finansowe 3</t>
  </si>
  <si>
    <t>Odpisy aktualizujące wartość zapasów na dzień bilansowy wynoszą:2</t>
  </si>
  <si>
    <t>Stan na koniec roku obrotowego2</t>
  </si>
  <si>
    <t>Stan na koniec roku obrotowego3</t>
  </si>
  <si>
    <t>Stan na koniec roku obrotowego4</t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</si>
  <si>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</si>
  <si>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własciwemu do spraw finansów publicznych wykazywanych w sprawozdaniu z wykonania planu dochodów budżetowych2</t>
  </si>
  <si>
    <t>Krótkoterminowe aktywa finansowe 2</t>
  </si>
  <si>
    <t>Krótkoterminowe aktywa finansowe 3</t>
  </si>
  <si>
    <t>Kolumna3</t>
  </si>
  <si>
    <t>Kolumna4</t>
  </si>
  <si>
    <t>Wartość początkowa na początek roku</t>
  </si>
  <si>
    <t>Wartość początkowa na koniec roku</t>
  </si>
  <si>
    <t>Odpisy na początek roku</t>
  </si>
  <si>
    <t>Odpisy na koniec roku</t>
  </si>
  <si>
    <t>odszkod. z tytułu decyzji sprzedażowych lokali oraz z tytułu utraty wartości sprzedanych lokali, zapłaty za wykup lokalu użytkowego</t>
  </si>
  <si>
    <t>na odszkodowania z tytułu bezumownego korzystania z nieruchomości</t>
  </si>
  <si>
    <t>Zysk/(strata) netto za rok zakończony dnia 31 grudnia bieżącego roku</t>
  </si>
  <si>
    <t>Kapitały własne na dzień 31 grudnia bieżącego roku</t>
  </si>
  <si>
    <r>
      <t>odszkod. z tytułu decyzji sprzedażowych lokali oraz</t>
    </r>
    <r>
      <rPr>
        <b/>
        <i/>
        <sz val="11"/>
        <color indexed="8"/>
        <rFont val="Calibri"/>
        <family val="2"/>
        <charset val="238"/>
        <scheme val="minor"/>
      </rPr>
      <t xml:space="preserve"> z tytułu utraty</t>
    </r>
    <r>
      <rPr>
        <i/>
        <sz val="11"/>
        <color indexed="8"/>
        <rFont val="Calibri"/>
        <family val="2"/>
        <charset val="238"/>
        <scheme val="minor"/>
      </rPr>
      <t xml:space="preserve"> wartości sprzedanych lokali, </t>
    </r>
    <r>
      <rPr>
        <b/>
        <i/>
        <sz val="11"/>
        <color indexed="8"/>
        <rFont val="Calibri"/>
        <family val="2"/>
        <charset val="238"/>
        <scheme val="minor"/>
      </rPr>
      <t xml:space="preserve">zapłaty za </t>
    </r>
    <r>
      <rPr>
        <i/>
        <sz val="11"/>
        <color indexed="8"/>
        <rFont val="Calibri"/>
        <family val="2"/>
        <charset val="238"/>
        <scheme val="minor"/>
      </rPr>
      <t>wykup lokalu użytkowego</t>
    </r>
  </si>
  <si>
    <t xml:space="preserve">Inne </t>
  </si>
  <si>
    <r>
      <rPr>
        <b/>
        <sz val="11"/>
        <rFont val="Calibri"/>
        <family val="2"/>
        <charset val="238"/>
      </rPr>
      <t>w tym</t>
    </r>
    <r>
      <rPr>
        <sz val="11"/>
        <rFont val="Calibri"/>
        <family val="2"/>
        <charset val="238"/>
      </rPr>
      <t xml:space="preserve"> należności finansowe (pożyczki zagrożone)</t>
    </r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</si>
  <si>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</si>
  <si>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</si>
  <si>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</si>
  <si>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</si>
  <si>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>II.1.16.a. Inwestycje finansowe długoterminowe i krótkoterminowe - zmiany w ciągu roku obrotowego</t>
  </si>
  <si>
    <t>Rok bieżący</t>
  </si>
  <si>
    <t xml:space="preserve">inne </t>
  </si>
  <si>
    <t>opłaty za wyżywienie niezwiązane z działalnością statutową</t>
  </si>
  <si>
    <t>opłaty za dzierżawę, najem niezwiązane z działalnością statutową</t>
  </si>
  <si>
    <t>rozwiązanie odpisów aktualizujących wartość śr. trwałych, śr. trwałych w budowie oraz wartości niematerialnych i prawnych</t>
  </si>
  <si>
    <t>utworzenie odpisu  aktualizującego wartość należności</t>
  </si>
  <si>
    <t>utworzenie odpisu  aktualizującego wartość nieruchomości inwestycyjnych</t>
  </si>
  <si>
    <r>
      <rPr>
        <b/>
        <sz val="11"/>
        <color indexed="8"/>
        <rFont val="Calibri"/>
        <family val="2"/>
        <charset val="238"/>
      </rPr>
      <t>inne koszty operacyjne</t>
    </r>
    <r>
      <rPr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koszty z tyt. zaokrąglenia podatków m.in. podatku VAT,niedobory inwentaryzacyjne uznane za niezawinione, odszkodowania w spawach o roszczenia ze stosunku pracy, zwrot dotacji z lat ubiegłych, itp..)</t>
    </r>
  </si>
  <si>
    <t xml:space="preserve">pozostałe </t>
  </si>
  <si>
    <t>Nazwa podmiotów2</t>
  </si>
  <si>
    <t xml:space="preserve">na odszkodowania z tytułu bezumownego korzystania z nieruchomości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</si>
  <si>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</si>
  <si>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koszty poniesione w związku z pomocą Uchodźcom z Ukrainy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</si>
</sst>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\ &quot;zł&quot;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u/>
      <sz val="9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trike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</cellStyleXfs>
  <cellXfs count="739">
    <xf numFmtId="0" fontId="0" fillId="0" borderId="0" xfId="0"/>
    <xf numFmtId="0" fontId="7" fillId="0" borderId="0" xfId="1" applyFont="1"/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 applyAlignment="1">
      <alignment horizontal="left"/>
    </xf>
    <xf numFmtId="4" fontId="8" fillId="0" borderId="0" xfId="1" applyNumberFormat="1" applyFont="1" applyAlignment="1">
      <alignment horizontal="left"/>
    </xf>
    <xf numFmtId="0" fontId="8" fillId="0" borderId="0" xfId="2" applyFont="1" applyAlignment="1">
      <alignment horizontal="left" wrapText="1"/>
    </xf>
    <xf numFmtId="4" fontId="11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2" fillId="0" borderId="0" xfId="1" applyFont="1" applyAlignment="1">
      <alignment horizontal="left"/>
    </xf>
    <xf numFmtId="0" fontId="8" fillId="0" borderId="0" xfId="1" applyFont="1"/>
    <xf numFmtId="0" fontId="8" fillId="0" borderId="0" xfId="4" applyFont="1" applyFill="1" applyAlignment="1" applyProtection="1">
      <alignment vertical="center"/>
    </xf>
    <xf numFmtId="4" fontId="20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 wrapText="1"/>
    </xf>
    <xf numFmtId="4" fontId="22" fillId="0" borderId="0" xfId="1" applyNumberFormat="1" applyFont="1" applyAlignment="1">
      <alignment vertical="center" wrapText="1"/>
    </xf>
    <xf numFmtId="4" fontId="11" fillId="0" borderId="0" xfId="1" applyNumberFormat="1" applyFont="1" applyFill="1" applyBorder="1" applyAlignment="1" applyProtection="1">
      <alignment vertical="center"/>
      <protection locked="0"/>
    </xf>
    <xf numFmtId="4" fontId="2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/>
    </xf>
    <xf numFmtId="4" fontId="11" fillId="0" borderId="0" xfId="1" applyNumberFormat="1" applyFont="1" applyFill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0" fontId="23" fillId="0" borderId="0" xfId="1" applyNumberFormat="1" applyFont="1" applyAlignment="1" applyProtection="1">
      <alignment horizontal="left" vertical="center" wrapText="1"/>
      <protection locked="0"/>
    </xf>
    <xf numFmtId="0" fontId="6" fillId="0" borderId="0" xfId="1" applyFont="1"/>
    <xf numFmtId="4" fontId="25" fillId="0" borderId="0" xfId="1" applyNumberFormat="1" applyFont="1" applyFill="1" applyBorder="1" applyAlignment="1">
      <alignment vertical="center"/>
    </xf>
    <xf numFmtId="4" fontId="11" fillId="0" borderId="0" xfId="1" applyNumberFormat="1" applyFont="1" applyBorder="1" applyAlignment="1">
      <alignment vertical="center"/>
    </xf>
    <xf numFmtId="0" fontId="17" fillId="0" borderId="0" xfId="4" applyFont="1" applyBorder="1" applyAlignment="1"/>
    <xf numFmtId="0" fontId="17" fillId="0" borderId="0" xfId="4" applyFont="1" applyBorder="1" applyAlignment="1">
      <alignment wrapText="1"/>
    </xf>
    <xf numFmtId="4" fontId="21" fillId="0" borderId="0" xfId="1" applyNumberFormat="1" applyFont="1" applyAlignment="1" applyProtection="1">
      <alignment vertical="center"/>
      <protection locked="0"/>
    </xf>
    <xf numFmtId="4" fontId="11" fillId="0" borderId="0" xfId="1" applyNumberFormat="1" applyFont="1" applyAlignment="1">
      <alignment horizontal="justify" vertical="center"/>
    </xf>
    <xf numFmtId="4" fontId="27" fillId="0" borderId="0" xfId="1" applyNumberFormat="1" applyFont="1" applyFill="1" applyAlignment="1" applyProtection="1">
      <alignment vertical="center"/>
      <protection locked="0"/>
    </xf>
    <xf numFmtId="4" fontId="28" fillId="0" borderId="0" xfId="1" applyNumberFormat="1" applyFont="1" applyFill="1" applyAlignment="1" applyProtection="1">
      <alignment vertical="center"/>
      <protection locked="0"/>
    </xf>
    <xf numFmtId="4" fontId="8" fillId="0" borderId="0" xfId="1" applyNumberFormat="1" applyFont="1" applyBorder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/>
    </xf>
    <xf numFmtId="4" fontId="10" fillId="0" borderId="0" xfId="1" applyNumberFormat="1" applyFont="1" applyFill="1" applyBorder="1" applyAlignment="1">
      <alignment horizontal="left" vertical="center"/>
    </xf>
    <xf numFmtId="4" fontId="10" fillId="0" borderId="0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right" vertical="center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20" fillId="0" borderId="0" xfId="1" applyNumberFormat="1" applyFont="1" applyAlignment="1" applyProtection="1">
      <alignment vertical="center"/>
      <protection locked="0"/>
    </xf>
    <xf numFmtId="4" fontId="19" fillId="0" borderId="0" xfId="1" applyNumberFormat="1" applyFont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1" applyNumberFormat="1" applyFont="1" applyFill="1" applyBorder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vertical="center"/>
      <protection locked="0"/>
    </xf>
    <xf numFmtId="4" fontId="11" fillId="0" borderId="0" xfId="1" applyNumberFormat="1" applyFont="1" applyFill="1" applyBorder="1" applyAlignment="1" applyProtection="1">
      <alignment vertical="center"/>
    </xf>
    <xf numFmtId="4" fontId="24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Alignment="1"/>
    <xf numFmtId="4" fontId="11" fillId="0" borderId="0" xfId="1" applyNumberFormat="1" applyFont="1" applyFill="1" applyAlignment="1">
      <alignment vertical="center"/>
    </xf>
    <xf numFmtId="0" fontId="11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center" wrapText="1"/>
    </xf>
    <xf numFmtId="4" fontId="29" fillId="0" borderId="0" xfId="1" applyNumberFormat="1" applyFont="1" applyAlignment="1">
      <alignment vertical="center"/>
    </xf>
    <xf numFmtId="0" fontId="8" fillId="0" borderId="0" xfId="2" applyFont="1" applyAlignment="1">
      <alignment horizontal="left" wrapText="1"/>
    </xf>
    <xf numFmtId="0" fontId="12" fillId="0" borderId="2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12" fillId="0" borderId="16" xfId="1" applyFont="1" applyFill="1" applyBorder="1"/>
    <xf numFmtId="4" fontId="12" fillId="0" borderId="17" xfId="1" applyNumberFormat="1" applyFont="1" applyFill="1" applyBorder="1" applyAlignment="1">
      <alignment horizontal="right"/>
    </xf>
    <xf numFmtId="4" fontId="12" fillId="0" borderId="18" xfId="1" applyNumberFormat="1" applyFont="1" applyFill="1" applyBorder="1" applyAlignment="1">
      <alignment horizontal="right"/>
    </xf>
    <xf numFmtId="0" fontId="6" fillId="0" borderId="16" xfId="1" applyFont="1" applyFill="1" applyBorder="1"/>
    <xf numFmtId="2" fontId="6" fillId="0" borderId="17" xfId="1" applyNumberFormat="1" applyFont="1" applyFill="1" applyBorder="1" applyAlignment="1">
      <alignment horizontal="right"/>
    </xf>
    <xf numFmtId="4" fontId="6" fillId="0" borderId="17" xfId="1" applyNumberFormat="1" applyFont="1" applyFill="1" applyBorder="1" applyAlignment="1">
      <alignment horizontal="right"/>
    </xf>
    <xf numFmtId="4" fontId="6" fillId="0" borderId="18" xfId="1" applyNumberFormat="1" applyFont="1" applyFill="1" applyBorder="1" applyAlignment="1">
      <alignment horizontal="right"/>
    </xf>
    <xf numFmtId="4" fontId="6" fillId="0" borderId="19" xfId="1" applyNumberFormat="1" applyFont="1" applyFill="1" applyBorder="1" applyAlignment="1">
      <alignment horizontal="right"/>
    </xf>
    <xf numFmtId="2" fontId="6" fillId="0" borderId="19" xfId="1" applyNumberFormat="1" applyFont="1" applyFill="1" applyBorder="1" applyAlignment="1">
      <alignment horizontal="right"/>
    </xf>
    <xf numFmtId="4" fontId="12" fillId="0" borderId="9" xfId="1" applyNumberFormat="1" applyFont="1" applyFill="1" applyBorder="1" applyAlignment="1">
      <alignment horizontal="right"/>
    </xf>
    <xf numFmtId="0" fontId="12" fillId="2" borderId="16" xfId="1" applyFont="1" applyFill="1" applyBorder="1"/>
    <xf numFmtId="4" fontId="12" fillId="2" borderId="17" xfId="1" applyNumberFormat="1" applyFont="1" applyFill="1" applyBorder="1" applyAlignment="1">
      <alignment horizontal="right"/>
    </xf>
    <xf numFmtId="4" fontId="12" fillId="2" borderId="18" xfId="1" applyNumberFormat="1" applyFont="1" applyFill="1" applyBorder="1" applyAlignment="1">
      <alignment horizontal="right"/>
    </xf>
    <xf numFmtId="4" fontId="16" fillId="0" borderId="24" xfId="4" applyNumberFormat="1" applyFont="1" applyFill="1" applyBorder="1" applyAlignment="1" applyProtection="1">
      <alignment horizontal="center" vertical="center" wrapText="1"/>
    </xf>
    <xf numFmtId="4" fontId="16" fillId="2" borderId="31" xfId="4" applyNumberFormat="1" applyFont="1" applyFill="1" applyBorder="1" applyAlignment="1" applyProtection="1">
      <alignment vertical="center"/>
    </xf>
    <xf numFmtId="4" fontId="16" fillId="0" borderId="33" xfId="4" applyNumberFormat="1" applyFont="1" applyFill="1" applyBorder="1" applyAlignment="1" applyProtection="1">
      <alignment vertical="center"/>
    </xf>
    <xf numFmtId="4" fontId="17" fillId="0" borderId="35" xfId="4" applyNumberFormat="1" applyFont="1" applyFill="1" applyBorder="1" applyAlignment="1" applyProtection="1">
      <alignment vertical="center"/>
      <protection locked="0"/>
    </xf>
    <xf numFmtId="4" fontId="16" fillId="2" borderId="37" xfId="4" applyNumberFormat="1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4" fontId="32" fillId="0" borderId="33" xfId="4" applyNumberFormat="1" applyFont="1" applyFill="1" applyBorder="1" applyAlignment="1" applyProtection="1">
      <alignment vertical="center"/>
    </xf>
    <xf numFmtId="4" fontId="6" fillId="0" borderId="17" xfId="1" applyNumberFormat="1" applyFont="1" applyBorder="1" applyAlignment="1">
      <alignment horizontal="right"/>
    </xf>
    <xf numFmtId="0" fontId="6" fillId="0" borderId="19" xfId="1" applyFont="1" applyBorder="1" applyAlignment="1">
      <alignment wrapText="1"/>
    </xf>
    <xf numFmtId="0" fontId="12" fillId="3" borderId="44" xfId="1" applyFont="1" applyFill="1" applyBorder="1" applyAlignment="1">
      <alignment horizontal="center" wrapText="1"/>
    </xf>
    <xf numFmtId="0" fontId="12" fillId="3" borderId="9" xfId="1" applyFont="1" applyFill="1" applyBorder="1" applyAlignment="1">
      <alignment horizontal="center" wrapText="1"/>
    </xf>
    <xf numFmtId="0" fontId="12" fillId="3" borderId="34" xfId="1" applyFont="1" applyFill="1" applyBorder="1" applyAlignment="1">
      <alignment horizontal="center" wrapText="1"/>
    </xf>
    <xf numFmtId="0" fontId="12" fillId="3" borderId="45" xfId="1" applyFont="1" applyFill="1" applyBorder="1" applyAlignment="1">
      <alignment horizontal="center" wrapText="1"/>
    </xf>
    <xf numFmtId="0" fontId="12" fillId="3" borderId="46" xfId="1" applyFont="1" applyFill="1" applyBorder="1" applyAlignment="1">
      <alignment horizontal="center" wrapText="1"/>
    </xf>
    <xf numFmtId="4" fontId="12" fillId="0" borderId="44" xfId="1" applyNumberFormat="1" applyFont="1" applyBorder="1" applyAlignment="1">
      <alignment horizontal="right"/>
    </xf>
    <xf numFmtId="4" fontId="12" fillId="0" borderId="9" xfId="1" applyNumberFormat="1" applyFont="1" applyBorder="1" applyAlignment="1">
      <alignment horizontal="right"/>
    </xf>
    <xf numFmtId="4" fontId="29" fillId="0" borderId="9" xfId="1" applyNumberFormat="1" applyFont="1" applyBorder="1" applyAlignment="1">
      <alignment vertical="center"/>
    </xf>
    <xf numFmtId="4" fontId="29" fillId="0" borderId="34" xfId="1" applyNumberFormat="1" applyFont="1" applyBorder="1" applyAlignment="1">
      <alignment vertical="center"/>
    </xf>
    <xf numFmtId="4" fontId="29" fillId="0" borderId="48" xfId="1" applyNumberFormat="1" applyFont="1" applyBorder="1" applyAlignment="1">
      <alignment vertical="center"/>
    </xf>
    <xf numFmtId="2" fontId="6" fillId="0" borderId="44" xfId="1" applyNumberFormat="1" applyFont="1" applyBorder="1" applyAlignment="1">
      <alignment wrapText="1"/>
    </xf>
    <xf numFmtId="2" fontId="6" fillId="0" borderId="9" xfId="1" applyNumberFormat="1" applyFont="1" applyBorder="1" applyAlignment="1">
      <alignment wrapText="1"/>
    </xf>
    <xf numFmtId="4" fontId="6" fillId="0" borderId="50" xfId="1" applyNumberFormat="1" applyFont="1" applyBorder="1" applyAlignment="1">
      <alignment horizontal="right"/>
    </xf>
    <xf numFmtId="2" fontId="6" fillId="0" borderId="51" xfId="1" applyNumberFormat="1" applyFont="1" applyBorder="1" applyAlignment="1">
      <alignment horizontal="right"/>
    </xf>
    <xf numFmtId="4" fontId="29" fillId="0" borderId="51" xfId="1" applyNumberFormat="1" applyFont="1" applyBorder="1" applyAlignment="1">
      <alignment vertical="center"/>
    </xf>
    <xf numFmtId="4" fontId="29" fillId="0" borderId="38" xfId="1" applyNumberFormat="1" applyFont="1" applyBorder="1" applyAlignment="1">
      <alignment vertical="center"/>
    </xf>
    <xf numFmtId="4" fontId="29" fillId="0" borderId="50" xfId="1" applyNumberFormat="1" applyFont="1" applyBorder="1" applyAlignment="1">
      <alignment vertical="center"/>
    </xf>
    <xf numFmtId="4" fontId="6" fillId="0" borderId="19" xfId="1" applyNumberFormat="1" applyFont="1" applyBorder="1" applyAlignment="1">
      <alignment horizontal="right"/>
    </xf>
    <xf numFmtId="4" fontId="6" fillId="0" borderId="11" xfId="1" applyNumberFormat="1" applyFont="1" applyFill="1" applyBorder="1" applyAlignment="1">
      <alignment horizontal="right"/>
    </xf>
    <xf numFmtId="4" fontId="19" fillId="5" borderId="30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4" fontId="16" fillId="2" borderId="4" xfId="1" applyNumberFormat="1" applyFont="1" applyFill="1" applyBorder="1" applyAlignment="1">
      <alignment horizontal="center" vertical="center" wrapText="1"/>
    </xf>
    <xf numFmtId="4" fontId="19" fillId="0" borderId="31" xfId="1" applyNumberFormat="1" applyFont="1" applyFill="1" applyBorder="1" applyAlignment="1">
      <alignment vertical="center"/>
    </xf>
    <xf numFmtId="4" fontId="19" fillId="0" borderId="42" xfId="1" applyNumberFormat="1" applyFont="1" applyBorder="1" applyAlignment="1">
      <alignment vertical="center"/>
    </xf>
    <xf numFmtId="4" fontId="19" fillId="0" borderId="31" xfId="1" applyNumberFormat="1" applyFont="1" applyBorder="1" applyAlignment="1">
      <alignment vertical="center"/>
    </xf>
    <xf numFmtId="4" fontId="19" fillId="0" borderId="33" xfId="1" applyNumberFormat="1" applyFont="1" applyFill="1" applyBorder="1" applyAlignment="1">
      <alignment vertical="center"/>
    </xf>
    <xf numFmtId="4" fontId="19" fillId="0" borderId="59" xfId="1" applyNumberFormat="1" applyFont="1" applyBorder="1" applyAlignment="1">
      <alignment vertical="center"/>
    </xf>
    <xf numFmtId="4" fontId="19" fillId="0" borderId="33" xfId="1" applyNumberFormat="1" applyFont="1" applyBorder="1" applyAlignment="1">
      <alignment vertical="center"/>
    </xf>
    <xf numFmtId="3" fontId="29" fillId="0" borderId="33" xfId="1" applyNumberFormat="1" applyFont="1" applyFill="1" applyBorder="1" applyAlignment="1">
      <alignment vertical="center"/>
    </xf>
    <xf numFmtId="4" fontId="29" fillId="0" borderId="59" xfId="1" applyNumberFormat="1" applyFont="1" applyBorder="1" applyAlignment="1">
      <alignment vertical="center"/>
    </xf>
    <xf numFmtId="4" fontId="29" fillId="0" borderId="33" xfId="1" applyNumberFormat="1" applyFont="1" applyBorder="1" applyAlignment="1">
      <alignment vertical="center"/>
    </xf>
    <xf numFmtId="3" fontId="29" fillId="0" borderId="61" xfId="1" applyNumberFormat="1" applyFont="1" applyFill="1" applyBorder="1" applyAlignment="1">
      <alignment vertical="center"/>
    </xf>
    <xf numFmtId="4" fontId="29" fillId="0" borderId="62" xfId="1" applyNumberFormat="1" applyFont="1" applyBorder="1" applyAlignment="1">
      <alignment vertical="center"/>
    </xf>
    <xf numFmtId="4" fontId="29" fillId="0" borderId="61" xfId="1" applyNumberFormat="1" applyFont="1" applyBorder="1" applyAlignment="1">
      <alignment vertical="center"/>
    </xf>
    <xf numFmtId="4" fontId="19" fillId="5" borderId="30" xfId="1" applyNumberFormat="1" applyFont="1" applyFill="1" applyBorder="1" applyAlignment="1">
      <alignment vertical="center"/>
    </xf>
    <xf numFmtId="4" fontId="19" fillId="0" borderId="43" xfId="1" applyNumberFormat="1" applyFont="1" applyFill="1" applyBorder="1" applyAlignment="1">
      <alignment vertical="center"/>
    </xf>
    <xf numFmtId="4" fontId="19" fillId="0" borderId="65" xfId="1" applyNumberFormat="1" applyFont="1" applyBorder="1" applyAlignment="1">
      <alignment vertical="center"/>
    </xf>
    <xf numFmtId="4" fontId="19" fillId="0" borderId="43" xfId="1" applyNumberFormat="1" applyFont="1" applyBorder="1" applyAlignment="1">
      <alignment vertical="center"/>
    </xf>
    <xf numFmtId="4" fontId="29" fillId="5" borderId="67" xfId="1" applyNumberFormat="1" applyFont="1" applyFill="1" applyBorder="1" applyAlignment="1" applyProtection="1">
      <alignment horizontal="center" vertical="center" wrapText="1"/>
      <protection locked="0"/>
    </xf>
    <xf numFmtId="4" fontId="29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1" xfId="1" applyNumberFormat="1" applyFont="1" applyFill="1" applyBorder="1" applyAlignment="1" applyProtection="1">
      <alignment vertical="center"/>
      <protection locked="0"/>
    </xf>
    <xf numFmtId="4" fontId="19" fillId="0" borderId="70" xfId="1" applyNumberFormat="1" applyFont="1" applyFill="1" applyBorder="1" applyAlignment="1" applyProtection="1">
      <alignment vertical="center"/>
      <protection locked="0"/>
    </xf>
    <xf numFmtId="4" fontId="19" fillId="0" borderId="43" xfId="1" applyNumberFormat="1" applyFont="1" applyFill="1" applyBorder="1" applyAlignment="1" applyProtection="1">
      <alignment vertical="center"/>
      <protection locked="0"/>
    </xf>
    <xf numFmtId="4" fontId="19" fillId="0" borderId="69" xfId="1" applyNumberFormat="1" applyFont="1" applyFill="1" applyBorder="1" applyAlignment="1" applyProtection="1">
      <alignment vertical="center"/>
    </xf>
    <xf numFmtId="4" fontId="29" fillId="0" borderId="33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</xf>
    <xf numFmtId="4" fontId="29" fillId="0" borderId="7" xfId="1" applyNumberFormat="1" applyFont="1" applyBorder="1" applyAlignment="1" applyProtection="1">
      <alignment horizontal="right" vertical="center" wrapText="1"/>
      <protection locked="0"/>
    </xf>
    <xf numFmtId="4" fontId="29" fillId="0" borderId="9" xfId="1" applyNumberFormat="1" applyFont="1" applyBorder="1" applyAlignment="1" applyProtection="1">
      <alignment horizontal="right" vertical="center" wrapText="1"/>
      <protection locked="0"/>
    </xf>
    <xf numFmtId="4" fontId="29" fillId="0" borderId="51" xfId="1" applyNumberFormat="1" applyFont="1" applyBorder="1" applyAlignment="1" applyProtection="1">
      <alignment horizontal="right" vertical="center" wrapText="1"/>
      <protection locked="0"/>
    </xf>
    <xf numFmtId="4" fontId="29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9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9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51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30" xfId="1" applyNumberFormat="1" applyFont="1" applyFill="1" applyBorder="1" applyAlignment="1" applyProtection="1">
      <alignment horizontal="right" vertical="center" wrapText="1"/>
    </xf>
    <xf numFmtId="4" fontId="29" fillId="0" borderId="65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 wrapText="1"/>
      <protection locked="0"/>
    </xf>
    <xf numFmtId="4" fontId="29" fillId="0" borderId="33" xfId="1" applyNumberFormat="1" applyFont="1" applyBorder="1" applyAlignment="1" applyProtection="1">
      <alignment horizontal="right" vertical="center" wrapText="1"/>
      <protection locked="0"/>
    </xf>
    <xf numFmtId="4" fontId="16" fillId="5" borderId="4" xfId="1" applyNumberFormat="1" applyFont="1" applyFill="1" applyBorder="1" applyAlignment="1" applyProtection="1">
      <alignment horizontal="right" vertical="center" wrapText="1"/>
    </xf>
    <xf numFmtId="4" fontId="19" fillId="5" borderId="4" xfId="1" applyNumberFormat="1" applyFont="1" applyFill="1" applyBorder="1" applyAlignment="1" applyProtection="1">
      <alignment horizontal="right" vertical="center" wrapText="1"/>
    </xf>
    <xf numFmtId="4" fontId="29" fillId="0" borderId="42" xfId="1" applyNumberFormat="1" applyFont="1" applyFill="1" applyBorder="1" applyAlignment="1">
      <alignment horizontal="right" vertical="center" wrapText="1"/>
    </xf>
    <xf numFmtId="4" fontId="29" fillId="0" borderId="38" xfId="1" applyNumberFormat="1" applyFont="1" applyFill="1" applyBorder="1" applyAlignment="1">
      <alignment horizontal="right" vertical="center" wrapText="1"/>
    </xf>
    <xf numFmtId="4" fontId="19" fillId="5" borderId="30" xfId="1" applyNumberFormat="1" applyFont="1" applyFill="1" applyBorder="1" applyAlignment="1">
      <alignment horizontal="center" vertical="center"/>
    </xf>
    <xf numFmtId="4" fontId="19" fillId="5" borderId="49" xfId="1" applyNumberFormat="1" applyFont="1" applyFill="1" applyBorder="1" applyAlignment="1">
      <alignment horizontal="center" vertical="center"/>
    </xf>
    <xf numFmtId="4" fontId="16" fillId="2" borderId="30" xfId="1" applyNumberFormat="1" applyFont="1" applyFill="1" applyBorder="1" applyAlignment="1">
      <alignment horizontal="center" vertical="center" wrapText="1"/>
    </xf>
    <xf numFmtId="4" fontId="19" fillId="2" borderId="30" xfId="1" applyNumberFormat="1" applyFont="1" applyFill="1" applyBorder="1" applyAlignment="1">
      <alignment horizontal="center" vertical="center" wrapText="1"/>
    </xf>
    <xf numFmtId="4" fontId="19" fillId="2" borderId="4" xfId="1" applyNumberFormat="1" applyFont="1" applyFill="1" applyBorder="1" applyAlignment="1">
      <alignment horizontal="center" vertical="center" wrapText="1"/>
    </xf>
    <xf numFmtId="4" fontId="29" fillId="0" borderId="43" xfId="1" applyNumberFormat="1" applyFont="1" applyFill="1" applyBorder="1" applyAlignment="1">
      <alignment vertical="center"/>
    </xf>
    <xf numFmtId="4" fontId="29" fillId="0" borderId="65" xfId="1" applyNumberFormat="1" applyFont="1" applyFill="1" applyBorder="1" applyAlignment="1">
      <alignment vertical="center"/>
    </xf>
    <xf numFmtId="4" fontId="29" fillId="0" borderId="33" xfId="1" applyNumberFormat="1" applyFont="1" applyFill="1" applyBorder="1" applyAlignment="1">
      <alignment vertical="center"/>
    </xf>
    <xf numFmtId="4" fontId="29" fillId="0" borderId="59" xfId="1" applyNumberFormat="1" applyFont="1" applyFill="1" applyBorder="1" applyAlignment="1">
      <alignment vertical="center"/>
    </xf>
    <xf numFmtId="4" fontId="29" fillId="0" borderId="24" xfId="1" applyNumberFormat="1" applyFont="1" applyFill="1" applyBorder="1" applyAlignment="1">
      <alignment vertical="center"/>
    </xf>
    <xf numFmtId="4" fontId="29" fillId="0" borderId="0" xfId="1" applyNumberFormat="1" applyFont="1" applyFill="1" applyBorder="1" applyAlignment="1">
      <alignment vertical="center"/>
    </xf>
    <xf numFmtId="4" fontId="19" fillId="5" borderId="3" xfId="1" applyNumberFormat="1" applyFont="1" applyFill="1" applyBorder="1" applyAlignment="1">
      <alignment vertical="center"/>
    </xf>
    <xf numFmtId="4" fontId="29" fillId="0" borderId="42" xfId="1" applyNumberFormat="1" applyFont="1" applyBorder="1" applyAlignment="1" applyProtection="1">
      <alignment horizontal="right" vertical="center"/>
      <protection locked="0"/>
    </xf>
    <xf numFmtId="4" fontId="29" fillId="0" borderId="31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/>
      <protection locked="0"/>
    </xf>
    <xf numFmtId="4" fontId="33" fillId="0" borderId="59" xfId="1" applyNumberFormat="1" applyFont="1" applyBorder="1" applyAlignment="1" applyProtection="1">
      <alignment horizontal="right" vertical="center"/>
      <protection locked="0"/>
    </xf>
    <xf numFmtId="4" fontId="33" fillId="0" borderId="33" xfId="1" applyNumberFormat="1" applyFont="1" applyBorder="1" applyAlignment="1" applyProtection="1">
      <alignment horizontal="right" vertical="center" wrapText="1"/>
      <protection locked="0"/>
    </xf>
    <xf numFmtId="4" fontId="29" fillId="0" borderId="62" xfId="1" applyNumberFormat="1" applyFont="1" applyBorder="1" applyAlignment="1" applyProtection="1">
      <alignment horizontal="right" vertical="center"/>
      <protection locked="0"/>
    </xf>
    <xf numFmtId="4" fontId="29" fillId="0" borderId="61" xfId="1" applyNumberFormat="1" applyFont="1" applyBorder="1" applyAlignment="1" applyProtection="1">
      <alignment horizontal="right" vertical="center" wrapText="1"/>
      <protection locked="0"/>
    </xf>
    <xf numFmtId="4" fontId="29" fillId="0" borderId="0" xfId="1" applyNumberFormat="1" applyFont="1" applyBorder="1" applyAlignment="1" applyProtection="1">
      <alignment horizontal="right" vertical="center"/>
      <protection locked="0"/>
    </xf>
    <xf numFmtId="4" fontId="29" fillId="0" borderId="24" xfId="1" applyNumberFormat="1" applyFont="1" applyBorder="1" applyAlignment="1" applyProtection="1">
      <alignment horizontal="right" vertical="center" wrapText="1"/>
      <protection locked="0"/>
    </xf>
    <xf numFmtId="4" fontId="19" fillId="2" borderId="5" xfId="1" applyNumberFormat="1" applyFont="1" applyFill="1" applyBorder="1" applyAlignment="1" applyProtection="1">
      <alignment horizontal="right" vertical="center"/>
    </xf>
    <xf numFmtId="4" fontId="19" fillId="0" borderId="20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7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65" xfId="1" applyNumberFormat="1" applyFont="1" applyFill="1" applyBorder="1" applyAlignment="1" applyProtection="1">
      <alignment horizontal="right" vertical="center"/>
      <protection locked="0"/>
    </xf>
    <xf numFmtId="4" fontId="29" fillId="0" borderId="65" xfId="1" applyNumberFormat="1" applyFont="1" applyFill="1" applyBorder="1" applyAlignment="1" applyProtection="1">
      <alignment horizontal="right" vertical="center"/>
      <protection locked="0"/>
    </xf>
    <xf numFmtId="4" fontId="29" fillId="0" borderId="59" xfId="1" applyNumberFormat="1" applyFont="1" applyFill="1" applyBorder="1" applyAlignment="1" applyProtection="1">
      <alignment horizontal="right" vertical="center"/>
      <protection locked="0"/>
    </xf>
    <xf numFmtId="4" fontId="29" fillId="0" borderId="74" xfId="1" applyNumberFormat="1" applyFont="1" applyBorder="1" applyAlignment="1" applyProtection="1">
      <alignment horizontal="right" vertical="center"/>
      <protection locked="0"/>
    </xf>
    <xf numFmtId="4" fontId="19" fillId="0" borderId="43" xfId="1" applyNumberFormat="1" applyFont="1" applyBorder="1" applyAlignment="1" applyProtection="1">
      <alignment vertical="center"/>
      <protection locked="0"/>
    </xf>
    <xf numFmtId="4" fontId="33" fillId="0" borderId="43" xfId="1" applyNumberFormat="1" applyFont="1" applyBorder="1" applyAlignment="1" applyProtection="1">
      <alignment vertical="center"/>
      <protection locked="0"/>
    </xf>
    <xf numFmtId="4" fontId="33" fillId="0" borderId="33" xfId="1" applyNumberFormat="1" applyFont="1" applyBorder="1" applyAlignment="1" applyProtection="1">
      <alignment horizontal="right" vertical="center"/>
      <protection locked="0"/>
    </xf>
    <xf numFmtId="4" fontId="29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5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6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2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0" xfId="1" applyNumberFormat="1" applyFont="1" applyFill="1" applyBorder="1" applyAlignment="1" applyProtection="1">
      <alignment vertical="center" wrapText="1"/>
      <protection locked="0"/>
    </xf>
    <xf numFmtId="4" fontId="19" fillId="0" borderId="64" xfId="1" applyNumberFormat="1" applyFont="1" applyFill="1" applyBorder="1" applyAlignment="1" applyProtection="1">
      <alignment vertical="center" wrapText="1"/>
      <protection locked="0"/>
    </xf>
    <xf numFmtId="4" fontId="19" fillId="0" borderId="75" xfId="1" applyNumberFormat="1" applyFont="1" applyFill="1" applyBorder="1" applyAlignment="1" applyProtection="1">
      <alignment vertical="center" wrapText="1"/>
      <protection locked="0"/>
    </xf>
    <xf numFmtId="4" fontId="19" fillId="0" borderId="72" xfId="1" applyNumberFormat="1" applyFont="1" applyFill="1" applyBorder="1" applyAlignment="1" applyProtection="1">
      <alignment vertical="center" wrapText="1"/>
      <protection locked="0"/>
    </xf>
    <xf numFmtId="4" fontId="33" fillId="0" borderId="45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7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31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76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8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34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33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Fill="1" applyBorder="1" applyAlignment="1" applyProtection="1">
      <alignment horizontal="right" vertical="center" wrapText="1"/>
    </xf>
    <xf numFmtId="4" fontId="17" fillId="0" borderId="42" xfId="1" applyNumberFormat="1" applyFont="1" applyFill="1" applyBorder="1" applyAlignment="1">
      <alignment horizontal="right" vertical="center" wrapText="1"/>
    </xf>
    <xf numFmtId="4" fontId="17" fillId="0" borderId="65" xfId="1" applyNumberFormat="1" applyFont="1" applyFill="1" applyBorder="1" applyAlignment="1">
      <alignment horizontal="right" vertical="center" wrapText="1"/>
    </xf>
    <xf numFmtId="4" fontId="17" fillId="0" borderId="62" xfId="1" applyNumberFormat="1" applyFont="1" applyFill="1" applyBorder="1" applyAlignment="1">
      <alignment horizontal="right" vertical="center" wrapText="1"/>
    </xf>
    <xf numFmtId="4" fontId="19" fillId="0" borderId="30" xfId="1" applyNumberFormat="1" applyFont="1" applyFill="1" applyBorder="1" applyAlignment="1" applyProtection="1">
      <alignment vertical="center"/>
    </xf>
    <xf numFmtId="4" fontId="29" fillId="0" borderId="31" xfId="1" applyNumberFormat="1" applyFont="1" applyBorder="1" applyAlignment="1" applyProtection="1">
      <alignment vertical="center"/>
      <protection locked="0"/>
    </xf>
    <xf numFmtId="4" fontId="29" fillId="0" borderId="33" xfId="1" applyNumberFormat="1" applyFont="1" applyBorder="1" applyAlignment="1" applyProtection="1">
      <alignment vertical="center"/>
      <protection locked="0"/>
    </xf>
    <xf numFmtId="4" fontId="29" fillId="0" borderId="37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Border="1" applyAlignment="1" applyProtection="1">
      <alignment vertical="center"/>
      <protection locked="0"/>
    </xf>
    <xf numFmtId="4" fontId="29" fillId="0" borderId="24" xfId="1" applyNumberFormat="1" applyFont="1" applyBorder="1" applyAlignment="1" applyProtection="1">
      <alignment vertical="center"/>
      <protection locked="0"/>
    </xf>
    <xf numFmtId="4" fontId="19" fillId="0" borderId="30" xfId="1" applyNumberFormat="1" applyFont="1" applyBorder="1" applyAlignment="1" applyProtection="1">
      <alignment vertical="center"/>
      <protection locked="0"/>
    </xf>
    <xf numFmtId="4" fontId="19" fillId="0" borderId="24" xfId="1" applyNumberFormat="1" applyFont="1" applyBorder="1" applyAlignment="1" applyProtection="1">
      <alignment vertical="center"/>
      <protection locked="0"/>
    </xf>
    <xf numFmtId="4" fontId="33" fillId="0" borderId="33" xfId="1" applyNumberFormat="1" applyFont="1" applyBorder="1" applyAlignment="1" applyProtection="1">
      <alignment vertical="center"/>
      <protection locked="0"/>
    </xf>
    <xf numFmtId="4" fontId="29" fillId="0" borderId="33" xfId="1" applyNumberFormat="1" applyFont="1" applyFill="1" applyBorder="1" applyAlignment="1" applyProtection="1">
      <alignment vertical="center"/>
    </xf>
    <xf numFmtId="4" fontId="29" fillId="0" borderId="30" xfId="1" applyNumberFormat="1" applyFont="1" applyBorder="1" applyAlignment="1" applyProtection="1">
      <alignment vertical="center"/>
      <protection locked="0"/>
    </xf>
    <xf numFmtId="4" fontId="29" fillId="0" borderId="30" xfId="1" applyNumberFormat="1" applyFont="1" applyFill="1" applyBorder="1" applyAlignment="1" applyProtection="1">
      <alignment vertical="center"/>
    </xf>
    <xf numFmtId="4" fontId="19" fillId="0" borderId="33" xfId="1" applyNumberFormat="1" applyFont="1" applyFill="1" applyBorder="1" applyAlignment="1" applyProtection="1">
      <alignment vertical="center"/>
    </xf>
    <xf numFmtId="4" fontId="29" fillId="0" borderId="61" xfId="1" applyNumberFormat="1" applyFont="1" applyBorder="1" applyAlignment="1" applyProtection="1">
      <alignment vertical="center"/>
      <protection locked="0"/>
    </xf>
    <xf numFmtId="4" fontId="19" fillId="0" borderId="31" xfId="1" applyNumberFormat="1" applyFont="1" applyFill="1" applyBorder="1" applyAlignment="1" applyProtection="1">
      <alignment vertical="center"/>
    </xf>
    <xf numFmtId="4" fontId="19" fillId="5" borderId="3" xfId="1" applyNumberFormat="1" applyFont="1" applyFill="1" applyBorder="1" applyAlignment="1">
      <alignment horizontal="center" vertical="center"/>
    </xf>
    <xf numFmtId="4" fontId="19" fillId="5" borderId="4" xfId="1" applyNumberFormat="1" applyFont="1" applyFill="1" applyBorder="1" applyAlignment="1">
      <alignment horizontal="center" vertical="center"/>
    </xf>
    <xf numFmtId="4" fontId="29" fillId="0" borderId="73" xfId="1" applyNumberFormat="1" applyFont="1" applyFill="1" applyBorder="1" applyAlignment="1" applyProtection="1">
      <alignment vertical="center"/>
      <protection locked="0"/>
    </xf>
    <xf numFmtId="4" fontId="29" fillId="0" borderId="61" xfId="1" applyNumberFormat="1" applyFont="1" applyFill="1" applyBorder="1" applyAlignment="1" applyProtection="1">
      <alignment vertical="center"/>
      <protection locked="0"/>
    </xf>
    <xf numFmtId="4" fontId="29" fillId="0" borderId="62" xfId="1" applyNumberFormat="1" applyFont="1" applyFill="1" applyBorder="1" applyAlignment="1" applyProtection="1">
      <alignment vertical="center"/>
      <protection locked="0"/>
    </xf>
    <xf numFmtId="4" fontId="19" fillId="0" borderId="65" xfId="1" applyNumberFormat="1" applyFont="1" applyFill="1" applyBorder="1" applyAlignment="1" applyProtection="1">
      <alignment vertical="center"/>
      <protection locked="0"/>
    </xf>
    <xf numFmtId="0" fontId="30" fillId="4" borderId="12" xfId="1" applyFont="1" applyFill="1" applyBorder="1" applyAlignment="1"/>
    <xf numFmtId="0" fontId="12" fillId="3" borderId="12" xfId="1" applyFont="1" applyFill="1" applyBorder="1"/>
    <xf numFmtId="0" fontId="30" fillId="0" borderId="8" xfId="1" applyFont="1" applyFill="1" applyBorder="1"/>
    <xf numFmtId="0" fontId="30" fillId="0" borderId="13" xfId="1" applyFont="1" applyFill="1" applyBorder="1"/>
    <xf numFmtId="0" fontId="30" fillId="0" borderId="25" xfId="1" applyFont="1" applyFill="1" applyBorder="1"/>
    <xf numFmtId="0" fontId="30" fillId="0" borderId="12" xfId="1" applyFont="1" applyFill="1" applyBorder="1"/>
    <xf numFmtId="0" fontId="30" fillId="0" borderId="14" xfId="1" applyFont="1" applyFill="1" applyBorder="1"/>
    <xf numFmtId="0" fontId="30" fillId="0" borderId="15" xfId="1" applyFont="1" applyFill="1" applyBorder="1"/>
    <xf numFmtId="0" fontId="12" fillId="4" borderId="12" xfId="1" applyFont="1" applyFill="1" applyBorder="1"/>
    <xf numFmtId="0" fontId="6" fillId="0" borderId="12" xfId="1" applyFont="1" applyBorder="1"/>
    <xf numFmtId="0" fontId="6" fillId="0" borderId="26" xfId="1" applyFont="1" applyBorder="1"/>
    <xf numFmtId="0" fontId="12" fillId="4" borderId="27" xfId="1" applyFont="1" applyFill="1" applyBorder="1"/>
    <xf numFmtId="4" fontId="31" fillId="0" borderId="29" xfId="1" applyNumberFormat="1" applyFont="1" applyFill="1" applyBorder="1" applyAlignment="1">
      <alignment vertical="center"/>
    </xf>
    <xf numFmtId="0" fontId="6" fillId="0" borderId="57" xfId="1" applyFont="1" applyBorder="1" applyAlignment="1">
      <alignment wrapText="1"/>
    </xf>
    <xf numFmtId="0" fontId="6" fillId="0" borderId="55" xfId="1" applyFont="1" applyBorder="1" applyAlignment="1">
      <alignment wrapText="1"/>
    </xf>
    <xf numFmtId="4" fontId="17" fillId="0" borderId="41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69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2" xfId="1" applyFont="1" applyBorder="1" applyAlignment="1">
      <alignment vertical="center"/>
    </xf>
    <xf numFmtId="0" fontId="17" fillId="0" borderId="32" xfId="1" applyFont="1" applyBorder="1" applyAlignment="1">
      <alignment horizontal="left" vertical="center" wrapText="1"/>
    </xf>
    <xf numFmtId="4" fontId="19" fillId="2" borderId="2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2" xfId="1" applyNumberFormat="1" applyFont="1" applyFill="1" applyBorder="1" applyAlignment="1">
      <alignment horizontal="left" vertical="center" wrapText="1"/>
    </xf>
    <xf numFmtId="4" fontId="19" fillId="0" borderId="41" xfId="1" applyNumberFormat="1" applyFont="1" applyFill="1" applyBorder="1" applyAlignment="1" applyProtection="1">
      <alignment vertical="center"/>
      <protection locked="0"/>
    </xf>
    <xf numFmtId="4" fontId="19" fillId="0" borderId="69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  <protection locked="0"/>
    </xf>
    <xf numFmtId="4" fontId="19" fillId="0" borderId="59" xfId="1" applyNumberFormat="1" applyFont="1" applyFill="1" applyBorder="1" applyAlignment="1" applyProtection="1">
      <alignment vertical="center" wrapText="1"/>
      <protection locked="0"/>
    </xf>
    <xf numFmtId="0" fontId="12" fillId="0" borderId="12" xfId="1" applyFont="1" applyFill="1" applyBorder="1"/>
    <xf numFmtId="0" fontId="6" fillId="0" borderId="12" xfId="1" applyFont="1" applyFill="1" applyBorder="1"/>
    <xf numFmtId="0" fontId="16" fillId="0" borderId="0" xfId="1" applyFont="1" applyAlignment="1">
      <alignment horizontal="left"/>
    </xf>
    <xf numFmtId="0" fontId="17" fillId="0" borderId="0" xfId="1" applyFont="1" applyAlignment="1"/>
    <xf numFmtId="0" fontId="17" fillId="0" borderId="0" xfId="6" applyFont="1"/>
    <xf numFmtId="0" fontId="17" fillId="0" borderId="0" xfId="1" applyFont="1"/>
    <xf numFmtId="0" fontId="6" fillId="0" borderId="39" xfId="1" applyFont="1" applyFill="1" applyBorder="1"/>
    <xf numFmtId="4" fontId="6" fillId="0" borderId="40" xfId="1" applyNumberFormat="1" applyFont="1" applyFill="1" applyBorder="1" applyAlignment="1">
      <alignment horizontal="right"/>
    </xf>
    <xf numFmtId="4" fontId="6" fillId="0" borderId="81" xfId="1" applyNumberFormat="1" applyFont="1" applyFill="1" applyBorder="1" applyAlignment="1">
      <alignment horizontal="right"/>
    </xf>
    <xf numFmtId="2" fontId="6" fillId="0" borderId="81" xfId="1" applyNumberFormat="1" applyFont="1" applyFill="1" applyBorder="1" applyAlignment="1">
      <alignment horizontal="right"/>
    </xf>
    <xf numFmtId="0" fontId="12" fillId="0" borderId="27" xfId="1" applyFont="1" applyFill="1" applyBorder="1"/>
    <xf numFmtId="4" fontId="12" fillId="0" borderId="28" xfId="1" applyNumberFormat="1" applyFont="1" applyFill="1" applyBorder="1" applyAlignment="1">
      <alignment horizontal="right"/>
    </xf>
    <xf numFmtId="0" fontId="6" fillId="0" borderId="82" xfId="1" applyFont="1" applyFill="1" applyBorder="1"/>
    <xf numFmtId="4" fontId="6" fillId="0" borderId="83" xfId="1" applyNumberFormat="1" applyFont="1" applyFill="1" applyBorder="1" applyAlignment="1">
      <alignment horizontal="right"/>
    </xf>
    <xf numFmtId="4" fontId="19" fillId="2" borderId="5" xfId="1" applyNumberFormat="1" applyFont="1" applyFill="1" applyBorder="1" applyAlignment="1" applyProtection="1">
      <alignment horizontal="left" vertical="center"/>
      <protection locked="0"/>
    </xf>
    <xf numFmtId="4" fontId="19" fillId="5" borderId="1" xfId="1" applyNumberFormat="1" applyFont="1" applyFill="1" applyBorder="1" applyAlignment="1">
      <alignment horizontal="center" vertical="center"/>
    </xf>
    <xf numFmtId="4" fontId="16" fillId="0" borderId="4" xfId="1" applyNumberFormat="1" applyFont="1" applyFill="1" applyBorder="1" applyAlignment="1" applyProtection="1">
      <alignment vertical="center" wrapText="1"/>
      <protection locked="0"/>
    </xf>
    <xf numFmtId="4" fontId="16" fillId="0" borderId="5" xfId="1" applyNumberFormat="1" applyFont="1" applyFill="1" applyBorder="1" applyAlignment="1" applyProtection="1">
      <alignment vertical="center" wrapText="1"/>
      <protection locked="0"/>
    </xf>
    <xf numFmtId="4" fontId="19" fillId="5" borderId="5" xfId="1" applyNumberFormat="1" applyFont="1" applyFill="1" applyBorder="1" applyAlignment="1">
      <alignment vertical="center"/>
    </xf>
    <xf numFmtId="4" fontId="29" fillId="0" borderId="79" xfId="1" applyNumberFormat="1" applyFont="1" applyFill="1" applyBorder="1" applyAlignment="1">
      <alignment vertical="center" wrapText="1"/>
    </xf>
    <xf numFmtId="4" fontId="29" fillId="0" borderId="58" xfId="1" applyNumberFormat="1" applyFont="1" applyFill="1" applyBorder="1" applyAlignment="1">
      <alignment vertical="center" wrapText="1"/>
    </xf>
    <xf numFmtId="4" fontId="29" fillId="0" borderId="58" xfId="1" applyNumberFormat="1" applyFont="1" applyFill="1" applyBorder="1" applyAlignment="1">
      <alignment horizontal="left" vertical="center" wrapText="1"/>
    </xf>
    <xf numFmtId="4" fontId="29" fillId="0" borderId="34" xfId="1" applyNumberFormat="1" applyFont="1" applyFill="1" applyBorder="1" applyAlignment="1">
      <alignment horizontal="left" vertical="center" wrapText="1"/>
    </xf>
    <xf numFmtId="4" fontId="29" fillId="0" borderId="80" xfId="1" applyNumberFormat="1" applyFont="1" applyFill="1" applyBorder="1" applyAlignment="1">
      <alignment horizontal="left" vertical="center" wrapText="1"/>
    </xf>
    <xf numFmtId="4" fontId="29" fillId="0" borderId="38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Fill="1" applyBorder="1" applyAlignment="1" applyProtection="1">
      <alignment vertical="center"/>
      <protection locked="0"/>
    </xf>
    <xf numFmtId="4" fontId="19" fillId="0" borderId="59" xfId="1" applyNumberFormat="1" applyFont="1" applyFill="1" applyBorder="1" applyAlignment="1" applyProtection="1">
      <alignment vertical="center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9" fillId="0" borderId="42" xfId="1" applyNumberFormat="1" applyFont="1" applyFill="1" applyBorder="1" applyAlignment="1" applyProtection="1">
      <alignment vertical="center" wrapText="1"/>
      <protection locked="0"/>
    </xf>
    <xf numFmtId="4" fontId="19" fillId="0" borderId="59" xfId="1" applyNumberFormat="1" applyFont="1" applyFill="1" applyBorder="1" applyAlignment="1" applyProtection="1">
      <alignment vertical="center" wrapText="1"/>
      <protection locked="0"/>
    </xf>
    <xf numFmtId="4" fontId="16" fillId="0" borderId="1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42" xfId="1" applyNumberFormat="1" applyFont="1" applyFill="1" applyBorder="1" applyAlignment="1" applyProtection="1">
      <alignment vertical="center"/>
      <protection locked="0"/>
    </xf>
    <xf numFmtId="4" fontId="17" fillId="0" borderId="59" xfId="1" applyNumberFormat="1" applyFont="1" applyFill="1" applyBorder="1" applyAlignment="1" applyProtection="1">
      <alignment vertical="center"/>
      <protection locked="0"/>
    </xf>
    <xf numFmtId="4" fontId="29" fillId="0" borderId="74" xfId="1" applyNumberFormat="1" applyFont="1" applyFill="1" applyBorder="1" applyAlignment="1" applyProtection="1">
      <alignment vertical="center" wrapText="1"/>
      <protection locked="0"/>
    </xf>
    <xf numFmtId="4" fontId="17" fillId="0" borderId="32" xfId="1" applyNumberFormat="1" applyFont="1" applyFill="1" applyBorder="1" applyAlignment="1">
      <alignment vertical="center" wrapText="1"/>
    </xf>
    <xf numFmtId="4" fontId="17" fillId="0" borderId="34" xfId="1" applyNumberFormat="1" applyFont="1" applyFill="1" applyBorder="1" applyAlignment="1">
      <alignment vertical="center" wrapText="1"/>
    </xf>
    <xf numFmtId="4" fontId="17" fillId="0" borderId="63" xfId="1" applyNumberFormat="1" applyFont="1" applyFill="1" applyBorder="1" applyAlignment="1">
      <alignment vertical="center" wrapText="1"/>
    </xf>
    <xf numFmtId="4" fontId="17" fillId="0" borderId="47" xfId="1" applyNumberFormat="1" applyFont="1" applyFill="1" applyBorder="1" applyAlignment="1">
      <alignment vertical="center" wrapText="1"/>
    </xf>
    <xf numFmtId="4" fontId="19" fillId="0" borderId="5" xfId="1" applyNumberFormat="1" applyFont="1" applyFill="1" applyBorder="1" applyAlignment="1">
      <alignment horizontal="center" vertical="center"/>
    </xf>
    <xf numFmtId="4" fontId="29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Border="1" applyAlignment="1">
      <alignment horizontal="center" vertical="center" wrapText="1"/>
    </xf>
    <xf numFmtId="4" fontId="29" fillId="0" borderId="34" xfId="1" applyNumberFormat="1" applyFont="1" applyFill="1" applyBorder="1" applyAlignment="1" applyProtection="1">
      <alignment horizontal="left" vertical="center"/>
      <protection locked="0"/>
    </xf>
    <xf numFmtId="4" fontId="29" fillId="0" borderId="38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34" xfId="1" applyNumberFormat="1" applyFont="1" applyBorder="1" applyAlignment="1" applyProtection="1">
      <alignment horizontal="left" vertical="center"/>
      <protection locked="0"/>
    </xf>
    <xf numFmtId="4" fontId="29" fillId="0" borderId="38" xfId="1" applyNumberFormat="1" applyFont="1" applyBorder="1" applyAlignment="1" applyProtection="1">
      <alignment horizontal="left" vertical="center"/>
      <protection locked="0"/>
    </xf>
    <xf numFmtId="4" fontId="17" fillId="0" borderId="32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Fill="1" applyBorder="1" applyAlignment="1" applyProtection="1">
      <alignment vertical="center" wrapText="1"/>
      <protection locked="0"/>
    </xf>
    <xf numFmtId="4" fontId="19" fillId="0" borderId="38" xfId="1" applyNumberFormat="1" applyFont="1" applyBorder="1" applyAlignment="1" applyProtection="1">
      <alignment horizontal="justify" vertical="center"/>
      <protection locked="0"/>
    </xf>
    <xf numFmtId="4" fontId="19" fillId="0" borderId="63" xfId="1" applyNumberFormat="1" applyFont="1" applyBorder="1" applyAlignment="1" applyProtection="1">
      <alignment horizontal="justify" vertical="center"/>
      <protection locked="0"/>
    </xf>
    <xf numFmtId="4" fontId="19" fillId="0" borderId="34" xfId="1" applyNumberFormat="1" applyFont="1" applyBorder="1" applyAlignment="1" applyProtection="1">
      <alignment horizontal="justify" vertical="center"/>
      <protection locked="0"/>
    </xf>
    <xf numFmtId="4" fontId="16" fillId="2" borderId="3" xfId="1" applyNumberFormat="1" applyFont="1" applyFill="1" applyBorder="1" applyAlignment="1">
      <alignment horizontal="center" vertical="center" wrapText="1"/>
    </xf>
    <xf numFmtId="4" fontId="19" fillId="0" borderId="32" xfId="1" applyNumberFormat="1" applyFont="1" applyBorder="1" applyAlignment="1" applyProtection="1">
      <alignment horizontal="justify" vertical="center"/>
      <protection locked="0"/>
    </xf>
    <xf numFmtId="0" fontId="12" fillId="2" borderId="3" xfId="1" applyFont="1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12" fillId="2" borderId="5" xfId="1" applyFont="1" applyFill="1" applyBorder="1" applyAlignment="1">
      <alignment wrapText="1"/>
    </xf>
    <xf numFmtId="0" fontId="12" fillId="2" borderId="39" xfId="1" applyFont="1" applyFill="1" applyBorder="1"/>
    <xf numFmtId="4" fontId="12" fillId="2" borderId="19" xfId="1" applyNumberFormat="1" applyFont="1" applyFill="1" applyBorder="1" applyAlignment="1">
      <alignment horizontal="right"/>
    </xf>
    <xf numFmtId="4" fontId="12" fillId="2" borderId="40" xfId="1" applyNumberFormat="1" applyFont="1" applyFill="1" applyBorder="1" applyAlignment="1">
      <alignment horizontal="right"/>
    </xf>
    <xf numFmtId="0" fontId="12" fillId="2" borderId="54" xfId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 wrapText="1"/>
    </xf>
    <xf numFmtId="0" fontId="16" fillId="2" borderId="7" xfId="4" applyFont="1" applyFill="1" applyBorder="1" applyAlignment="1">
      <alignment wrapText="1"/>
    </xf>
    <xf numFmtId="0" fontId="12" fillId="2" borderId="86" xfId="1" applyFont="1" applyFill="1" applyBorder="1" applyAlignment="1">
      <alignment horizontal="center" wrapText="1"/>
    </xf>
    <xf numFmtId="0" fontId="12" fillId="2" borderId="87" xfId="1" applyFont="1" applyFill="1" applyBorder="1" applyAlignment="1">
      <alignment horizontal="center" wrapText="1"/>
    </xf>
    <xf numFmtId="0" fontId="12" fillId="2" borderId="88" xfId="1" applyFont="1" applyFill="1" applyBorder="1" applyAlignment="1">
      <alignment horizontal="center" wrapText="1"/>
    </xf>
    <xf numFmtId="0" fontId="17" fillId="0" borderId="14" xfId="1" applyFont="1" applyBorder="1" applyAlignment="1"/>
    <xf numFmtId="4" fontId="12" fillId="3" borderId="12" xfId="1" applyNumberFormat="1" applyFont="1" applyFill="1" applyBorder="1" applyAlignment="1">
      <alignment horizontal="right"/>
    </xf>
    <xf numFmtId="4" fontId="12" fillId="4" borderId="12" xfId="1" applyNumberFormat="1" applyFont="1" applyFill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2" fontId="6" fillId="0" borderId="12" xfId="1" applyNumberFormat="1" applyFont="1" applyBorder="1" applyAlignment="1">
      <alignment horizontal="right"/>
    </xf>
    <xf numFmtId="4" fontId="6" fillId="0" borderId="26" xfId="1" applyNumberFormat="1" applyFont="1" applyBorder="1" applyAlignment="1">
      <alignment horizontal="right"/>
    </xf>
    <xf numFmtId="4" fontId="12" fillId="4" borderId="8" xfId="1" applyNumberFormat="1" applyFont="1" applyFill="1" applyBorder="1" applyAlignment="1">
      <alignment horizontal="right"/>
    </xf>
    <xf numFmtId="4" fontId="6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12" fillId="3" borderId="22" xfId="1" applyFont="1" applyFill="1" applyBorder="1" applyAlignment="1">
      <alignment horizontal="center" vertical="center" wrapText="1"/>
    </xf>
    <xf numFmtId="0" fontId="12" fillId="3" borderId="56" xfId="1" applyFont="1" applyFill="1" applyBorder="1"/>
    <xf numFmtId="4" fontId="12" fillId="3" borderId="56" xfId="1" applyNumberFormat="1" applyFont="1" applyFill="1" applyBorder="1" applyAlignment="1">
      <alignment horizontal="right"/>
    </xf>
    <xf numFmtId="0" fontId="16" fillId="0" borderId="23" xfId="4" applyFont="1" applyFill="1" applyBorder="1" applyAlignment="1" applyProtection="1">
      <alignment horizontal="center" vertical="center"/>
    </xf>
    <xf numFmtId="0" fontId="16" fillId="2" borderId="32" xfId="4" applyFont="1" applyFill="1" applyBorder="1" applyAlignment="1" applyProtection="1">
      <alignment vertical="center" wrapText="1"/>
    </xf>
    <xf numFmtId="0" fontId="16" fillId="0" borderId="34" xfId="4" applyFont="1" applyFill="1" applyBorder="1" applyAlignment="1" applyProtection="1">
      <alignment vertical="center" wrapText="1"/>
    </xf>
    <xf numFmtId="0" fontId="17" fillId="0" borderId="36" xfId="4" applyFont="1" applyFill="1" applyBorder="1" applyAlignment="1" applyProtection="1">
      <alignment vertical="center" wrapText="1"/>
    </xf>
    <xf numFmtId="0" fontId="17" fillId="0" borderId="36" xfId="4" quotePrefix="1" applyFont="1" applyFill="1" applyBorder="1" applyAlignment="1" applyProtection="1">
      <alignment vertical="center" wrapText="1"/>
      <protection locked="0"/>
    </xf>
    <xf numFmtId="0" fontId="16" fillId="2" borderId="38" xfId="4" applyFont="1" applyFill="1" applyBorder="1" applyAlignment="1" applyProtection="1">
      <alignment vertical="center" wrapText="1"/>
    </xf>
    <xf numFmtId="0" fontId="16" fillId="0" borderId="0" xfId="4" applyFont="1" applyFill="1" applyBorder="1" applyAlignment="1" applyProtection="1">
      <alignment horizontal="centerContinuous" vertical="center"/>
    </xf>
    <xf numFmtId="0" fontId="16" fillId="0" borderId="0" xfId="4" applyFont="1" applyFill="1" applyBorder="1" applyAlignment="1" applyProtection="1">
      <alignment horizontal="center" vertical="center" wrapText="1"/>
    </xf>
    <xf numFmtId="4" fontId="16" fillId="2" borderId="42" xfId="4" applyNumberFormat="1" applyFont="1" applyFill="1" applyBorder="1" applyAlignment="1" applyProtection="1">
      <alignment vertical="center"/>
    </xf>
    <xf numFmtId="4" fontId="16" fillId="0" borderId="59" xfId="4" applyNumberFormat="1" applyFont="1" applyFill="1" applyBorder="1" applyAlignment="1" applyProtection="1">
      <alignment vertical="center"/>
    </xf>
    <xf numFmtId="4" fontId="17" fillId="0" borderId="89" xfId="4" applyNumberFormat="1" applyFont="1" applyFill="1" applyBorder="1" applyAlignment="1" applyProtection="1">
      <alignment vertical="center"/>
    </xf>
    <xf numFmtId="4" fontId="16" fillId="2" borderId="74" xfId="4" applyNumberFormat="1" applyFont="1" applyFill="1" applyBorder="1" applyAlignment="1" applyProtection="1">
      <alignment vertical="center"/>
    </xf>
    <xf numFmtId="0" fontId="16" fillId="2" borderId="2" xfId="4" applyFont="1" applyFill="1" applyBorder="1" applyAlignment="1" applyProtection="1">
      <alignment horizontal="center" vertical="center" wrapText="1"/>
    </xf>
    <xf numFmtId="4" fontId="16" fillId="2" borderId="49" xfId="4" applyNumberFormat="1" applyFont="1" applyFill="1" applyBorder="1" applyAlignment="1" applyProtection="1">
      <alignment horizontal="center" vertical="center" wrapText="1"/>
    </xf>
    <xf numFmtId="0" fontId="16" fillId="2" borderId="1" xfId="4" applyFont="1" applyFill="1" applyBorder="1" applyAlignment="1" applyProtection="1">
      <alignment horizontal="center" vertical="center" wrapText="1"/>
    </xf>
    <xf numFmtId="0" fontId="16" fillId="2" borderId="63" xfId="4" applyFont="1" applyFill="1" applyBorder="1" applyAlignment="1" applyProtection="1">
      <alignment vertical="center" wrapText="1"/>
    </xf>
    <xf numFmtId="4" fontId="16" fillId="2" borderId="61" xfId="4" applyNumberFormat="1" applyFont="1" applyFill="1" applyBorder="1" applyAlignment="1" applyProtection="1">
      <alignment vertical="center"/>
    </xf>
    <xf numFmtId="4" fontId="16" fillId="2" borderId="62" xfId="4" applyNumberFormat="1" applyFont="1" applyFill="1" applyBorder="1" applyAlignment="1" applyProtection="1">
      <alignment vertical="center"/>
    </xf>
    <xf numFmtId="4" fontId="6" fillId="0" borderId="90" xfId="1" applyNumberFormat="1" applyFont="1" applyFill="1" applyBorder="1" applyAlignment="1">
      <alignment horizontal="right"/>
    </xf>
    <xf numFmtId="0" fontId="6" fillId="0" borderId="91" xfId="1" applyFont="1" applyFill="1" applyBorder="1" applyAlignment="1">
      <alignment wrapText="1"/>
    </xf>
    <xf numFmtId="0" fontId="12" fillId="3" borderId="10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0" fontId="12" fillId="3" borderId="92" xfId="1" applyFont="1" applyFill="1" applyBorder="1" applyAlignment="1">
      <alignment horizontal="center" wrapText="1"/>
    </xf>
    <xf numFmtId="0" fontId="6" fillId="0" borderId="93" xfId="1" applyFont="1" applyBorder="1" applyAlignment="1">
      <alignment wrapText="1"/>
    </xf>
    <xf numFmtId="4" fontId="6" fillId="0" borderId="85" xfId="1" applyNumberFormat="1" applyFont="1" applyBorder="1" applyAlignment="1">
      <alignment horizontal="right"/>
    </xf>
    <xf numFmtId="2" fontId="6" fillId="0" borderId="85" xfId="1" applyNumberFormat="1" applyFont="1" applyBorder="1" applyAlignment="1">
      <alignment horizontal="right"/>
    </xf>
    <xf numFmtId="2" fontId="6" fillId="0" borderId="94" xfId="1" applyNumberFormat="1" applyFont="1" applyFill="1" applyBorder="1" applyAlignment="1">
      <alignment horizontal="right"/>
    </xf>
    <xf numFmtId="0" fontId="17" fillId="0" borderId="47" xfId="1" applyFont="1" applyBorder="1" applyAlignment="1">
      <alignment horizontal="center" wrapText="1"/>
    </xf>
    <xf numFmtId="0" fontId="12" fillId="0" borderId="34" xfId="1" applyFont="1" applyBorder="1" applyAlignment="1">
      <alignment wrapText="1"/>
    </xf>
    <xf numFmtId="0" fontId="12" fillId="3" borderId="65" xfId="1" applyFont="1" applyFill="1" applyBorder="1" applyAlignment="1">
      <alignment horizontal="center" wrapText="1"/>
    </xf>
    <xf numFmtId="4" fontId="12" fillId="0" borderId="59" xfId="1" applyNumberFormat="1" applyFont="1" applyBorder="1" applyAlignment="1">
      <alignment horizontal="right"/>
    </xf>
    <xf numFmtId="2" fontId="6" fillId="0" borderId="59" xfId="1" applyNumberFormat="1" applyFont="1" applyBorder="1" applyAlignment="1">
      <alignment wrapText="1"/>
    </xf>
    <xf numFmtId="2" fontId="6" fillId="0" borderId="74" xfId="1" applyNumberFormat="1" applyFont="1" applyBorder="1" applyAlignment="1">
      <alignment horizontal="right"/>
    </xf>
    <xf numFmtId="0" fontId="12" fillId="3" borderId="23" xfId="1" applyFont="1" applyFill="1" applyBorder="1" applyAlignment="1">
      <alignment horizontal="center" wrapText="1"/>
    </xf>
    <xf numFmtId="0" fontId="12" fillId="3" borderId="70" xfId="1" applyFont="1" applyFill="1" applyBorder="1" applyAlignment="1">
      <alignment wrapText="1"/>
    </xf>
    <xf numFmtId="0" fontId="12" fillId="2" borderId="63" xfId="1" applyFont="1" applyFill="1" applyBorder="1" applyAlignment="1">
      <alignment wrapText="1"/>
    </xf>
    <xf numFmtId="4" fontId="12" fillId="2" borderId="95" xfId="1" applyNumberFormat="1" applyFont="1" applyFill="1" applyBorder="1" applyAlignment="1">
      <alignment horizontal="right"/>
    </xf>
    <xf numFmtId="4" fontId="12" fillId="2" borderId="96" xfId="1" applyNumberFormat="1" applyFont="1" applyFill="1" applyBorder="1" applyAlignment="1">
      <alignment horizontal="right"/>
    </xf>
    <xf numFmtId="4" fontId="12" fillId="2" borderId="84" xfId="1" applyNumberFormat="1" applyFont="1" applyFill="1" applyBorder="1" applyAlignment="1">
      <alignment horizontal="right"/>
    </xf>
    <xf numFmtId="4" fontId="12" fillId="2" borderId="23" xfId="1" applyNumberFormat="1" applyFont="1" applyFill="1" applyBorder="1" applyAlignment="1">
      <alignment horizontal="right"/>
    </xf>
    <xf numFmtId="4" fontId="12" fillId="2" borderId="78" xfId="1" applyNumberFormat="1" applyFont="1" applyFill="1" applyBorder="1" applyAlignment="1">
      <alignment horizontal="right"/>
    </xf>
    <xf numFmtId="4" fontId="12" fillId="2" borderId="0" xfId="1" applyNumberFormat="1" applyFont="1" applyFill="1" applyBorder="1" applyAlignment="1">
      <alignment horizontal="right"/>
    </xf>
    <xf numFmtId="0" fontId="6" fillId="3" borderId="76" xfId="1" applyFont="1" applyFill="1" applyBorder="1" applyAlignment="1">
      <alignment horizontal="center" wrapText="1"/>
    </xf>
    <xf numFmtId="0" fontId="6" fillId="0" borderId="97" xfId="1" applyFont="1" applyBorder="1" applyAlignment="1">
      <alignment wrapText="1"/>
    </xf>
    <xf numFmtId="4" fontId="6" fillId="0" borderId="60" xfId="1" applyNumberFormat="1" applyFont="1" applyBorder="1" applyAlignment="1">
      <alignment horizontal="right"/>
    </xf>
    <xf numFmtId="0" fontId="6" fillId="0" borderId="14" xfId="1" applyFont="1" applyBorder="1" applyAlignment="1">
      <alignment wrapText="1"/>
    </xf>
    <xf numFmtId="0" fontId="6" fillId="0" borderId="98" xfId="1" applyFont="1" applyBorder="1" applyAlignment="1">
      <alignment wrapText="1"/>
    </xf>
    <xf numFmtId="4" fontId="6" fillId="0" borderId="90" xfId="1" applyNumberFormat="1" applyFont="1" applyBorder="1" applyAlignment="1">
      <alignment horizontal="right"/>
    </xf>
    <xf numFmtId="4" fontId="6" fillId="0" borderId="91" xfId="1" applyNumberFormat="1" applyFont="1" applyBorder="1" applyAlignment="1">
      <alignment horizontal="right"/>
    </xf>
    <xf numFmtId="4" fontId="6" fillId="0" borderId="92" xfId="1" applyNumberFormat="1" applyFont="1" applyFill="1" applyBorder="1" applyAlignment="1">
      <alignment horizontal="right"/>
    </xf>
    <xf numFmtId="0" fontId="12" fillId="3" borderId="13" xfId="1" applyFont="1" applyFill="1" applyBorder="1" applyAlignment="1">
      <alignment wrapText="1"/>
    </xf>
    <xf numFmtId="4" fontId="6" fillId="0" borderId="91" xfId="1" applyNumberFormat="1" applyFont="1" applyFill="1" applyBorder="1" applyAlignment="1">
      <alignment horizontal="right"/>
    </xf>
    <xf numFmtId="4" fontId="16" fillId="5" borderId="1" xfId="1" applyNumberFormat="1" applyFont="1" applyFill="1" applyBorder="1" applyAlignment="1">
      <alignment vertical="center"/>
    </xf>
    <xf numFmtId="4" fontId="19" fillId="5" borderId="49" xfId="1" applyNumberFormat="1" applyFont="1" applyFill="1" applyBorder="1" applyAlignment="1">
      <alignment horizontal="center" vertical="center" wrapText="1"/>
    </xf>
    <xf numFmtId="4" fontId="19" fillId="5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9" fillId="5" borderId="99" xfId="1" applyNumberFormat="1" applyFont="1" applyFill="1" applyBorder="1" applyAlignment="1">
      <alignment vertical="center"/>
    </xf>
    <xf numFmtId="4" fontId="19" fillId="5" borderId="21" xfId="1" applyNumberFormat="1" applyFont="1" applyFill="1" applyBorder="1" applyAlignment="1">
      <alignment vertical="center"/>
    </xf>
    <xf numFmtId="4" fontId="19" fillId="5" borderId="67" xfId="1" applyNumberFormat="1" applyFont="1" applyFill="1" applyBorder="1" applyAlignment="1">
      <alignment vertical="center"/>
    </xf>
    <xf numFmtId="4" fontId="16" fillId="2" borderId="20" xfId="1" applyNumberFormat="1" applyFont="1" applyFill="1" applyBorder="1" applyAlignment="1" applyProtection="1">
      <alignment vertical="center"/>
      <protection locked="0"/>
    </xf>
    <xf numFmtId="4" fontId="16" fillId="2" borderId="1" xfId="1" applyNumberFormat="1" applyFont="1" applyFill="1" applyBorder="1" applyAlignment="1" applyProtection="1">
      <alignment vertical="center"/>
      <protection locked="0"/>
    </xf>
    <xf numFmtId="4" fontId="16" fillId="2" borderId="2" xfId="1" applyNumberFormat="1" applyFont="1" applyFill="1" applyBorder="1" applyAlignment="1" applyProtection="1">
      <alignment vertical="center"/>
      <protection locked="0"/>
    </xf>
    <xf numFmtId="49" fontId="29" fillId="0" borderId="32" xfId="1" applyNumberFormat="1" applyFont="1" applyFill="1" applyBorder="1" applyAlignment="1" applyProtection="1">
      <alignment vertical="center"/>
      <protection locked="0"/>
    </xf>
    <xf numFmtId="49" fontId="19" fillId="0" borderId="47" xfId="1" applyNumberFormat="1" applyFont="1" applyFill="1" applyBorder="1" applyAlignment="1" applyProtection="1">
      <alignment vertical="center"/>
      <protection locked="0"/>
    </xf>
    <xf numFmtId="49" fontId="29" fillId="0" borderId="47" xfId="1" applyNumberFormat="1" applyFont="1" applyFill="1" applyBorder="1" applyAlignment="1" applyProtection="1">
      <alignment vertical="center"/>
      <protection locked="0"/>
    </xf>
    <xf numFmtId="49" fontId="29" fillId="0" borderId="34" xfId="1" applyNumberFormat="1" applyFont="1" applyFill="1" applyBorder="1" applyAlignment="1" applyProtection="1">
      <alignment vertical="center"/>
      <protection locked="0"/>
    </xf>
    <xf numFmtId="4" fontId="16" fillId="5" borderId="22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22" xfId="1" applyNumberFormat="1" applyFont="1" applyFill="1" applyBorder="1" applyAlignment="1" applyProtection="1">
      <alignment vertical="center"/>
      <protection locked="0"/>
    </xf>
    <xf numFmtId="4" fontId="16" fillId="2" borderId="0" xfId="1" applyNumberFormat="1" applyFont="1" applyFill="1" applyBorder="1" applyAlignment="1" applyProtection="1">
      <alignment vertical="center"/>
      <protection locked="0"/>
    </xf>
    <xf numFmtId="4" fontId="19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8" xfId="1" applyNumberFormat="1" applyFont="1" applyFill="1" applyBorder="1" applyAlignment="1" applyProtection="1">
      <alignment horizontal="center"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/>
      <protection locked="0"/>
    </xf>
    <xf numFmtId="4" fontId="19" fillId="2" borderId="2" xfId="1" applyNumberFormat="1" applyFont="1" applyFill="1" applyBorder="1" applyAlignment="1" applyProtection="1">
      <alignment horizontal="center" vertical="center"/>
      <protection locked="0"/>
    </xf>
    <xf numFmtId="164" fontId="19" fillId="2" borderId="67" xfId="5" applyFont="1" applyFill="1" applyBorder="1" applyAlignment="1" applyProtection="1">
      <alignment horizontal="left" vertical="center" wrapText="1"/>
      <protection locked="0"/>
    </xf>
    <xf numFmtId="4" fontId="19" fillId="2" borderId="6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42" xfId="1" applyNumberFormat="1" applyFont="1" applyFill="1" applyBorder="1" applyAlignment="1" applyProtection="1">
      <alignment vertical="center" wrapText="1"/>
      <protection locked="0"/>
    </xf>
    <xf numFmtId="4" fontId="16" fillId="0" borderId="59" xfId="1" applyNumberFormat="1" applyFont="1" applyFill="1" applyBorder="1" applyAlignment="1" applyProtection="1">
      <alignment vertical="center" wrapText="1"/>
      <protection locked="0"/>
    </xf>
    <xf numFmtId="4" fontId="19" fillId="0" borderId="74" xfId="1" applyNumberFormat="1" applyFont="1" applyFill="1" applyBorder="1" applyAlignment="1" applyProtection="1">
      <alignment vertical="center" wrapText="1"/>
      <protection locked="0"/>
    </xf>
    <xf numFmtId="4" fontId="19" fillId="2" borderId="42" xfId="1" applyNumberFormat="1" applyFont="1" applyFill="1" applyBorder="1" applyAlignment="1" applyProtection="1">
      <alignment vertical="center" wrapText="1"/>
      <protection locked="0"/>
    </xf>
    <xf numFmtId="4" fontId="33" fillId="0" borderId="59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 applyProtection="1">
      <alignment vertical="center" wrapText="1"/>
      <protection locked="0"/>
    </xf>
    <xf numFmtId="4" fontId="19" fillId="0" borderId="99" xfId="1" applyNumberFormat="1" applyFont="1" applyFill="1" applyBorder="1" applyAlignment="1" applyProtection="1">
      <alignment horizontal="right" vertical="center" wrapText="1"/>
    </xf>
    <xf numFmtId="4" fontId="19" fillId="0" borderId="58" xfId="1" applyNumberFormat="1" applyFont="1" applyFill="1" applyBorder="1" applyAlignment="1" applyProtection="1">
      <alignment horizontal="right" vertical="center" wrapText="1"/>
    </xf>
    <xf numFmtId="4" fontId="19" fillId="0" borderId="66" xfId="1" applyNumberFormat="1" applyFont="1" applyFill="1" applyBorder="1" applyAlignment="1" applyProtection="1">
      <alignment horizontal="right" vertical="center" wrapText="1"/>
    </xf>
    <xf numFmtId="4" fontId="19" fillId="2" borderId="79" xfId="1" applyNumberFormat="1" applyFont="1" applyFill="1" applyBorder="1" applyAlignment="1" applyProtection="1">
      <alignment horizontal="right" vertical="center" wrapText="1"/>
    </xf>
    <xf numFmtId="4" fontId="29" fillId="0" borderId="58" xfId="1" applyNumberFormat="1" applyFont="1" applyFill="1" applyBorder="1" applyAlignment="1" applyProtection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7" xfId="1" applyNumberFormat="1" applyFont="1" applyFill="1" applyBorder="1" applyAlignment="1" applyProtection="1">
      <alignment vertical="center" wrapText="1"/>
      <protection locked="0"/>
    </xf>
    <xf numFmtId="4" fontId="19" fillId="5" borderId="84" xfId="1" applyNumberFormat="1" applyFont="1" applyFill="1" applyBorder="1" applyAlignment="1" applyProtection="1">
      <alignment horizontal="right" vertical="center" wrapText="1"/>
    </xf>
    <xf numFmtId="4" fontId="16" fillId="5" borderId="3" xfId="1" applyNumberFormat="1" applyFont="1" applyFill="1" applyBorder="1" applyAlignment="1" applyProtection="1">
      <alignment horizontal="right" vertical="center" wrapText="1"/>
    </xf>
    <xf numFmtId="4" fontId="29" fillId="0" borderId="70" xfId="1" applyNumberFormat="1" applyFont="1" applyBorder="1" applyAlignment="1" applyProtection="1">
      <alignment horizontal="right" vertical="center" wrapText="1"/>
      <protection locked="0"/>
    </xf>
    <xf numFmtId="4" fontId="2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2" borderId="3" xfId="1" applyNumberFormat="1" applyFont="1" applyFill="1" applyBorder="1" applyAlignment="1" applyProtection="1">
      <alignment horizontal="right" vertical="center" wrapText="1"/>
    </xf>
    <xf numFmtId="4" fontId="16" fillId="5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20" xfId="1" applyNumberFormat="1" applyFont="1" applyFill="1" applyBorder="1" applyAlignment="1" applyProtection="1">
      <alignment horizontal="right" vertical="center" wrapText="1"/>
    </xf>
    <xf numFmtId="4" fontId="19" fillId="5" borderId="67" xfId="1" applyNumberFormat="1" applyFont="1" applyFill="1" applyBorder="1" applyAlignment="1" applyProtection="1">
      <alignment horizontal="right" vertical="center" wrapText="1"/>
    </xf>
    <xf numFmtId="4" fontId="29" fillId="0" borderId="41" xfId="1" applyNumberFormat="1" applyFont="1" applyFill="1" applyBorder="1" applyAlignment="1">
      <alignment horizontal="right" vertical="center" wrapText="1"/>
    </xf>
    <xf numFmtId="4" fontId="29" fillId="0" borderId="70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4" fontId="16" fillId="5" borderId="68" xfId="1" applyNumberFormat="1" applyFont="1" applyFill="1" applyBorder="1" applyAlignment="1">
      <alignment horizontal="center" vertical="center" wrapText="1"/>
    </xf>
    <xf numFmtId="4" fontId="19" fillId="5" borderId="0" xfId="1" applyNumberFormat="1" applyFont="1" applyFill="1" applyBorder="1" applyAlignment="1">
      <alignment horizontal="right" vertical="center" wrapText="1"/>
    </xf>
    <xf numFmtId="4" fontId="19" fillId="5" borderId="6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left" vertical="center" wrapText="1"/>
    </xf>
    <xf numFmtId="4" fontId="33" fillId="0" borderId="0" xfId="1" applyNumberFormat="1" applyFont="1" applyFill="1" applyBorder="1" applyAlignment="1">
      <alignment horizontal="left" vertical="center" wrapText="1"/>
    </xf>
    <xf numFmtId="4" fontId="19" fillId="5" borderId="4" xfId="1" applyNumberFormat="1" applyFont="1" applyFill="1" applyBorder="1" applyAlignment="1">
      <alignment horizontal="left" vertical="center"/>
    </xf>
    <xf numFmtId="4" fontId="19" fillId="5" borderId="4" xfId="1" applyNumberFormat="1" applyFont="1" applyFill="1" applyBorder="1" applyAlignment="1">
      <alignment vertical="center"/>
    </xf>
    <xf numFmtId="4" fontId="19" fillId="2" borderId="3" xfId="1" applyNumberFormat="1" applyFont="1" applyFill="1" applyBorder="1" applyAlignment="1">
      <alignment horizontal="center" vertical="center" wrapText="1"/>
    </xf>
    <xf numFmtId="4" fontId="29" fillId="0" borderId="70" xfId="1" applyNumberFormat="1" applyFont="1" applyFill="1" applyBorder="1" applyAlignment="1">
      <alignment vertical="center"/>
    </xf>
    <xf numFmtId="4" fontId="29" fillId="0" borderId="69" xfId="1" applyNumberFormat="1" applyFont="1" applyFill="1" applyBorder="1" applyAlignment="1">
      <alignment vertical="center"/>
    </xf>
    <xf numFmtId="4" fontId="29" fillId="0" borderId="22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horizontal="center" vertical="center" wrapText="1"/>
    </xf>
    <xf numFmtId="4" fontId="19" fillId="5" borderId="6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vertical="center" wrapText="1"/>
    </xf>
    <xf numFmtId="4" fontId="29" fillId="0" borderId="41" xfId="1" applyNumberFormat="1" applyFont="1" applyBorder="1" applyAlignment="1" applyProtection="1">
      <alignment horizontal="right" vertical="center" wrapText="1"/>
      <protection locked="0"/>
    </xf>
    <xf numFmtId="4" fontId="33" fillId="0" borderId="69" xfId="1" applyNumberFormat="1" applyFont="1" applyBorder="1" applyAlignment="1" applyProtection="1">
      <alignment horizontal="right" vertical="center" wrapText="1"/>
      <protection locked="0"/>
    </xf>
    <xf numFmtId="4" fontId="29" fillId="0" borderId="73" xfId="1" applyNumberFormat="1" applyFont="1" applyBorder="1" applyAlignment="1" applyProtection="1">
      <alignment horizontal="right" vertical="center" wrapText="1"/>
      <protection locked="0"/>
    </xf>
    <xf numFmtId="4" fontId="29" fillId="0" borderId="22" xfId="1" applyNumberFormat="1" applyFont="1" applyBorder="1" applyAlignment="1" applyProtection="1">
      <alignment horizontal="right" vertical="center" wrapText="1"/>
      <protection locked="0"/>
    </xf>
    <xf numFmtId="4" fontId="16" fillId="5" borderId="2" xfId="1" applyNumberFormat="1" applyFont="1" applyFill="1" applyBorder="1" applyAlignment="1">
      <alignment horizontal="center" vertical="center"/>
    </xf>
    <xf numFmtId="4" fontId="16" fillId="5" borderId="49" xfId="1" applyNumberFormat="1" applyFont="1" applyFill="1" applyBorder="1" applyAlignment="1">
      <alignment horizontal="center" vertical="center" wrapText="1"/>
    </xf>
    <xf numFmtId="4" fontId="19" fillId="5" borderId="20" xfId="1" applyNumberFormat="1" applyFont="1" applyFill="1" applyBorder="1" applyAlignment="1" applyProtection="1">
      <alignment horizontal="justify" vertical="center"/>
      <protection locked="0"/>
    </xf>
    <xf numFmtId="4" fontId="19" fillId="2" borderId="20" xfId="1" applyNumberFormat="1" applyFont="1" applyFill="1" applyBorder="1" applyAlignment="1" applyProtection="1">
      <alignment horizontal="right" vertical="center"/>
    </xf>
    <xf numFmtId="4" fontId="19" fillId="5" borderId="6" xfId="1" applyNumberFormat="1" applyFont="1" applyFill="1" applyBorder="1" applyAlignment="1" applyProtection="1">
      <alignment horizontal="right" vertical="center"/>
    </xf>
    <xf numFmtId="4" fontId="19" fillId="0" borderId="4" xfId="1" applyNumberFormat="1" applyFont="1" applyFill="1" applyBorder="1" applyAlignment="1" applyProtection="1">
      <alignment vertical="center" wrapText="1"/>
      <protection locked="0"/>
    </xf>
    <xf numFmtId="4" fontId="19" fillId="0" borderId="6" xfId="1" applyNumberFormat="1" applyFont="1" applyFill="1" applyBorder="1" applyAlignment="1" applyProtection="1">
      <alignment horizontal="right" vertical="center" wrapText="1"/>
    </xf>
    <xf numFmtId="4" fontId="19" fillId="0" borderId="3" xfId="1" applyNumberFormat="1" applyFont="1" applyFill="1" applyBorder="1" applyAlignment="1" applyProtection="1">
      <alignment horizontal="right" vertical="center" wrapText="1"/>
    </xf>
    <xf numFmtId="165" fontId="33" fillId="0" borderId="65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59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21" xfId="1" applyNumberFormat="1" applyFont="1" applyFill="1" applyBorder="1" applyAlignment="1" applyProtection="1">
      <alignment horizontal="right" vertical="center" wrapText="1"/>
    </xf>
    <xf numFmtId="4" fontId="19" fillId="2" borderId="6" xfId="1" applyNumberFormat="1" applyFont="1" applyFill="1" applyBorder="1" applyAlignment="1" applyProtection="1">
      <alignment horizontal="right" vertical="center" wrapText="1"/>
    </xf>
    <xf numFmtId="4" fontId="29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3" xfId="1" applyNumberFormat="1" applyFont="1" applyFill="1" applyBorder="1" applyAlignment="1" applyProtection="1">
      <alignment horizontal="right" vertical="center"/>
    </xf>
    <xf numFmtId="4" fontId="19" fillId="0" borderId="70" xfId="1" applyNumberFormat="1" applyFont="1" applyFill="1" applyBorder="1" applyAlignment="1" applyProtection="1">
      <alignment horizontal="right" vertical="center"/>
      <protection locked="0"/>
    </xf>
    <xf numFmtId="4" fontId="29" fillId="0" borderId="70" xfId="1" applyNumberFormat="1" applyFont="1" applyFill="1" applyBorder="1" applyAlignment="1" applyProtection="1">
      <alignment horizontal="right" vertical="center"/>
      <protection locked="0"/>
    </xf>
    <xf numFmtId="4" fontId="1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7" xfId="1" applyNumberFormat="1" applyFont="1" applyFill="1" applyBorder="1" applyAlignment="1" applyProtection="1">
      <alignment vertical="center"/>
      <protection locked="0"/>
    </xf>
    <xf numFmtId="4" fontId="16" fillId="5" borderId="20" xfId="1" applyNumberFormat="1" applyFont="1" applyFill="1" applyBorder="1" applyAlignment="1" applyProtection="1">
      <alignment vertical="center"/>
      <protection locked="0"/>
    </xf>
    <xf numFmtId="4" fontId="19" fillId="5" borderId="4" xfId="1" applyNumberFormat="1" applyFont="1" applyFill="1" applyBorder="1" applyAlignment="1" applyProtection="1">
      <alignment horizontal="right" vertical="center"/>
    </xf>
    <xf numFmtId="4" fontId="19" fillId="2" borderId="67" xfId="1" applyNumberFormat="1" applyFont="1" applyFill="1" applyBorder="1" applyAlignment="1" applyProtection="1">
      <alignment vertical="center"/>
      <protection locked="0"/>
    </xf>
    <xf numFmtId="4" fontId="19" fillId="2" borderId="2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horizontal="right" vertical="center"/>
      <protection locked="0"/>
    </xf>
    <xf numFmtId="4" fontId="29" fillId="0" borderId="34" xfId="1" applyNumberFormat="1" applyFont="1" applyBorder="1" applyAlignment="1" applyProtection="1">
      <alignment horizontal="right" vertical="center"/>
      <protection locked="0"/>
    </xf>
    <xf numFmtId="4" fontId="29" fillId="0" borderId="47" xfId="1" applyNumberFormat="1" applyFont="1" applyFill="1" applyBorder="1" applyAlignment="1" applyProtection="1">
      <alignment horizontal="right" vertical="center"/>
      <protection locked="0"/>
    </xf>
    <xf numFmtId="4" fontId="29" fillId="0" borderId="38" xfId="1" applyNumberFormat="1" applyFont="1" applyBorder="1" applyAlignment="1" applyProtection="1">
      <alignment horizontal="right" vertical="center"/>
      <protection locked="0"/>
    </xf>
    <xf numFmtId="4" fontId="19" fillId="2" borderId="32" xfId="1" applyNumberFormat="1" applyFont="1" applyFill="1" applyBorder="1" applyAlignment="1" applyProtection="1">
      <alignment vertical="center"/>
      <protection locked="0"/>
    </xf>
    <xf numFmtId="4" fontId="19" fillId="0" borderId="5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Fill="1" applyBorder="1" applyAlignment="1" applyProtection="1">
      <alignment vertical="center"/>
      <protection locked="0"/>
    </xf>
    <xf numFmtId="4" fontId="19" fillId="0" borderId="70" xfId="1" applyNumberFormat="1" applyFont="1" applyBorder="1" applyAlignment="1" applyProtection="1">
      <alignment vertical="center"/>
      <protection locked="0"/>
    </xf>
    <xf numFmtId="4" fontId="33" fillId="0" borderId="65" xfId="1" applyNumberFormat="1" applyFont="1" applyBorder="1" applyAlignment="1" applyProtection="1">
      <alignment vertical="center"/>
      <protection locked="0"/>
    </xf>
    <xf numFmtId="4" fontId="19" fillId="0" borderId="65" xfId="1" applyNumberFormat="1" applyFont="1" applyBorder="1" applyAlignment="1" applyProtection="1">
      <alignment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1" xfId="1" applyNumberFormat="1" applyFont="1" applyFill="1" applyBorder="1" applyAlignment="1" applyProtection="1">
      <alignment vertical="center"/>
    </xf>
    <xf numFmtId="4" fontId="19" fillId="2" borderId="6" xfId="1" applyNumberFormat="1" applyFont="1" applyFill="1" applyBorder="1" applyAlignment="1" applyProtection="1">
      <alignment vertical="center"/>
    </xf>
    <xf numFmtId="4" fontId="19" fillId="2" borderId="67" xfId="1" applyNumberFormat="1" applyFont="1" applyFill="1" applyBorder="1" applyAlignment="1" applyProtection="1">
      <alignment horizontal="left" vertical="center"/>
      <protection locked="0"/>
    </xf>
    <xf numFmtId="4" fontId="19" fillId="2" borderId="20" xfId="1" applyNumberFormat="1" applyFont="1" applyFill="1" applyBorder="1" applyAlignment="1" applyProtection="1">
      <alignment horizontal="left" vertical="center"/>
      <protection locked="0"/>
    </xf>
    <xf numFmtId="4" fontId="19" fillId="5" borderId="21" xfId="1" applyNumberFormat="1" applyFont="1" applyFill="1" applyBorder="1" applyAlignment="1" applyProtection="1">
      <alignment horizontal="right" vertical="center"/>
    </xf>
    <xf numFmtId="4" fontId="16" fillId="5" borderId="5" xfId="1" applyNumberFormat="1" applyFont="1" applyFill="1" applyBorder="1" applyAlignment="1">
      <alignment vertical="center"/>
    </xf>
    <xf numFmtId="4" fontId="29" fillId="0" borderId="5" xfId="1" applyNumberFormat="1" applyFont="1" applyBorder="1" applyAlignment="1" applyProtection="1">
      <alignment horizontal="justify" vertical="center"/>
      <protection locked="0"/>
    </xf>
    <xf numFmtId="4" fontId="16" fillId="5" borderId="2" xfId="1" applyNumberFormat="1" applyFont="1" applyFill="1" applyBorder="1" applyAlignment="1">
      <alignment vertical="center"/>
    </xf>
    <xf numFmtId="4" fontId="19" fillId="5" borderId="20" xfId="1" applyNumberFormat="1" applyFont="1" applyFill="1" applyBorder="1" applyAlignment="1" applyProtection="1">
      <alignment horizontal="right" vertical="center"/>
    </xf>
    <xf numFmtId="4" fontId="19" fillId="5" borderId="68" xfId="1" applyNumberFormat="1" applyFont="1" applyFill="1" applyBorder="1" applyAlignment="1">
      <alignment horizontal="center" vertical="center" wrapText="1"/>
    </xf>
    <xf numFmtId="4" fontId="29" fillId="0" borderId="20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6" xfId="1" applyNumberFormat="1" applyFont="1" applyFill="1" applyBorder="1" applyAlignment="1" applyProtection="1">
      <alignment horizontal="right" vertical="center"/>
      <protection locked="0"/>
    </xf>
    <xf numFmtId="4" fontId="16" fillId="0" borderId="67" xfId="1" applyNumberFormat="1" applyFont="1" applyFill="1" applyBorder="1" applyAlignment="1">
      <alignment horizontal="left" vertical="center" wrapText="1"/>
    </xf>
    <xf numFmtId="4" fontId="19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70" xfId="1" applyNumberFormat="1" applyFont="1" applyFill="1" applyBorder="1" applyAlignment="1" applyProtection="1">
      <alignment horizontal="right" vertical="center" wrapText="1"/>
      <protection locked="0"/>
    </xf>
    <xf numFmtId="4" fontId="19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0" xfId="1" applyNumberFormat="1" applyFont="1" applyFill="1" applyBorder="1" applyAlignment="1">
      <alignment horizontal="left" vertical="center" wrapText="1"/>
    </xf>
    <xf numFmtId="4" fontId="19" fillId="2" borderId="77" xfId="1" applyNumberFormat="1" applyFont="1" applyFill="1" applyBorder="1" applyAlignment="1" applyProtection="1">
      <alignment horizontal="right" vertical="center" wrapText="1"/>
    </xf>
    <xf numFmtId="4" fontId="16" fillId="2" borderId="68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74" xfId="1" applyNumberFormat="1" applyFont="1" applyBorder="1" applyAlignment="1" applyProtection="1">
      <alignment horizontal="left" vertical="center" wrapText="1"/>
      <protection locked="0"/>
    </xf>
    <xf numFmtId="4" fontId="19" fillId="0" borderId="41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Fill="1" applyBorder="1" applyAlignment="1" applyProtection="1">
      <alignment horizontal="right" vertical="center" wrapText="1"/>
    </xf>
    <xf numFmtId="4" fontId="29" fillId="0" borderId="69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67" xfId="1" applyNumberFormat="1" applyFont="1" applyFill="1" applyBorder="1" applyAlignment="1" applyProtection="1">
      <alignment horizontal="justify" vertical="center" wrapText="1"/>
      <protection locked="0"/>
    </xf>
    <xf numFmtId="4" fontId="29" fillId="0" borderId="67" xfId="1" applyNumberFormat="1" applyFont="1" applyBorder="1" applyAlignment="1">
      <alignment horizontal="right" vertical="center"/>
    </xf>
    <xf numFmtId="4" fontId="29" fillId="0" borderId="6" xfId="1" applyNumberFormat="1" applyFont="1" applyBorder="1" applyAlignment="1">
      <alignment horizontal="right" vertical="center"/>
    </xf>
    <xf numFmtId="4" fontId="19" fillId="2" borderId="1" xfId="1" applyNumberFormat="1" applyFont="1" applyFill="1" applyBorder="1" applyAlignment="1">
      <alignment vertical="center" wrapText="1"/>
    </xf>
    <xf numFmtId="4" fontId="17" fillId="0" borderId="41" xfId="1" applyNumberFormat="1" applyFont="1" applyFill="1" applyBorder="1" applyAlignment="1">
      <alignment horizontal="right" vertical="center" wrapText="1"/>
    </xf>
    <xf numFmtId="4" fontId="17" fillId="0" borderId="70" xfId="1" applyNumberFormat="1" applyFont="1" applyFill="1" applyBorder="1" applyAlignment="1">
      <alignment horizontal="right" vertical="center" wrapText="1"/>
    </xf>
    <xf numFmtId="4" fontId="17" fillId="0" borderId="73" xfId="1" applyNumberFormat="1" applyFont="1" applyFill="1" applyBorder="1" applyAlignment="1">
      <alignment horizontal="right" vertical="center" wrapText="1"/>
    </xf>
    <xf numFmtId="4" fontId="16" fillId="5" borderId="1" xfId="1" applyNumberFormat="1" applyFont="1" applyFill="1" applyBorder="1" applyAlignment="1">
      <alignment horizontal="center" vertical="center" wrapText="1"/>
    </xf>
    <xf numFmtId="4" fontId="16" fillId="2" borderId="49" xfId="1" applyNumberFormat="1" applyFont="1" applyFill="1" applyBorder="1" applyAlignment="1">
      <alignment horizontal="center" vertical="center" wrapText="1"/>
    </xf>
    <xf numFmtId="4" fontId="19" fillId="0" borderId="3" xfId="1" applyNumberFormat="1" applyFont="1" applyFill="1" applyBorder="1" applyAlignment="1" applyProtection="1">
      <alignment vertical="center"/>
    </xf>
    <xf numFmtId="4" fontId="29" fillId="0" borderId="4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/>
      <protection locked="0"/>
    </xf>
    <xf numFmtId="4" fontId="29" fillId="0" borderId="65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Border="1" applyAlignment="1" applyProtection="1">
      <alignment vertical="center"/>
      <protection locked="0"/>
    </xf>
    <xf numFmtId="4" fontId="29" fillId="0" borderId="22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 applyProtection="1">
      <alignment vertical="center"/>
      <protection locked="0"/>
    </xf>
    <xf numFmtId="0" fontId="6" fillId="0" borderId="100" xfId="1" applyFont="1" applyBorder="1"/>
    <xf numFmtId="0" fontId="6" fillId="0" borderId="61" xfId="1" applyFont="1" applyBorder="1"/>
    <xf numFmtId="0" fontId="6" fillId="0" borderId="73" xfId="1" applyFont="1" applyBorder="1"/>
    <xf numFmtId="166" fontId="19" fillId="0" borderId="4" xfId="1" applyNumberFormat="1" applyFont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0" xfId="1" applyNumberFormat="1" applyFont="1" applyFill="1" applyBorder="1" applyAlignment="1">
      <alignment horizontal="left" vertical="center" wrapText="1"/>
    </xf>
    <xf numFmtId="4" fontId="29" fillId="0" borderId="32" xfId="1" applyNumberFormat="1" applyFont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vertical="center" wrapText="1"/>
      <protection locked="0"/>
    </xf>
    <xf numFmtId="4" fontId="29" fillId="0" borderId="38" xfId="1" applyNumberFormat="1" applyFont="1" applyBorder="1" applyAlignment="1" applyProtection="1">
      <alignment vertical="center" wrapText="1"/>
      <protection locked="0"/>
    </xf>
    <xf numFmtId="4" fontId="19" fillId="2" borderId="5" xfId="1" applyNumberFormat="1" applyFont="1" applyFill="1" applyBorder="1" applyAlignment="1" applyProtection="1">
      <alignment vertical="center" wrapText="1"/>
      <protection locked="0"/>
    </xf>
    <xf numFmtId="4" fontId="19" fillId="2" borderId="20" xfId="1" applyNumberFormat="1" applyFont="1" applyFill="1" applyBorder="1" applyAlignment="1" applyProtection="1">
      <alignment vertical="center" wrapText="1"/>
      <protection locked="0"/>
    </xf>
    <xf numFmtId="4" fontId="16" fillId="0" borderId="32" xfId="1" applyNumberFormat="1" applyFont="1" applyFill="1" applyBorder="1" applyAlignment="1">
      <alignment horizontal="left" vertical="center" wrapText="1"/>
    </xf>
    <xf numFmtId="4" fontId="19" fillId="0" borderId="34" xfId="1" applyNumberFormat="1" applyFont="1" applyBorder="1" applyAlignment="1">
      <alignment vertical="center"/>
    </xf>
    <xf numFmtId="4" fontId="29" fillId="0" borderId="63" xfId="1" applyNumberFormat="1" applyFont="1" applyBorder="1" applyAlignment="1">
      <alignment vertical="center"/>
    </xf>
    <xf numFmtId="4" fontId="19" fillId="0" borderId="47" xfId="1" applyNumberFormat="1" applyFont="1" applyBorder="1" applyAlignment="1">
      <alignment vertical="center"/>
    </xf>
    <xf numFmtId="4" fontId="19" fillId="5" borderId="20" xfId="1" applyNumberFormat="1" applyFont="1" applyFill="1" applyBorder="1" applyAlignment="1">
      <alignment vertical="center"/>
    </xf>
    <xf numFmtId="4" fontId="19" fillId="0" borderId="65" xfId="1" applyNumberFormat="1" applyFont="1" applyFill="1" applyBorder="1" applyAlignment="1">
      <alignment horizontal="right" vertical="center"/>
    </xf>
    <xf numFmtId="4" fontId="19" fillId="0" borderId="59" xfId="1" applyNumberFormat="1" applyFont="1" applyBorder="1" applyAlignment="1">
      <alignment horizontal="right" vertical="center"/>
    </xf>
    <xf numFmtId="4" fontId="29" fillId="0" borderId="69" xfId="1" applyNumberFormat="1" applyFont="1" applyBorder="1" applyAlignment="1">
      <alignment vertical="center"/>
    </xf>
    <xf numFmtId="4" fontId="19" fillId="0" borderId="62" xfId="1" applyNumberFormat="1" applyFont="1" applyBorder="1" applyAlignment="1">
      <alignment horizontal="right" vertical="center"/>
    </xf>
    <xf numFmtId="4" fontId="29" fillId="0" borderId="73" xfId="1" applyNumberFormat="1" applyFont="1" applyBorder="1" applyAlignment="1">
      <alignment vertical="center"/>
    </xf>
    <xf numFmtId="4" fontId="19" fillId="2" borderId="49" xfId="1" applyNumberFormat="1" applyFont="1" applyFill="1" applyBorder="1" applyAlignment="1">
      <alignment horizontal="center" vertical="center" wrapText="1"/>
    </xf>
    <xf numFmtId="4" fontId="19" fillId="2" borderId="68" xfId="1" applyNumberFormat="1" applyFont="1" applyFill="1" applyBorder="1" applyAlignment="1">
      <alignment horizontal="center" vertical="center" wrapText="1"/>
    </xf>
    <xf numFmtId="4" fontId="29" fillId="0" borderId="67" xfId="1" applyNumberFormat="1" applyFont="1" applyBorder="1" applyAlignment="1">
      <alignment vertical="center" wrapText="1"/>
    </xf>
    <xf numFmtId="4" fontId="29" fillId="0" borderId="78" xfId="1" applyNumberFormat="1" applyFont="1" applyBorder="1" applyAlignment="1">
      <alignment vertical="center" wrapText="1"/>
    </xf>
    <xf numFmtId="4" fontId="29" fillId="0" borderId="101" xfId="1" applyNumberFormat="1" applyFont="1" applyBorder="1" applyAlignment="1">
      <alignment vertical="center" wrapText="1"/>
    </xf>
    <xf numFmtId="4" fontId="19" fillId="2" borderId="68" xfId="1" applyNumberFormat="1" applyFont="1" applyFill="1" applyBorder="1" applyAlignment="1">
      <alignment vertical="center"/>
    </xf>
    <xf numFmtId="4" fontId="19" fillId="5" borderId="22" xfId="1" applyNumberFormat="1" applyFont="1" applyFill="1" applyBorder="1" applyAlignment="1">
      <alignment vertical="center"/>
    </xf>
    <xf numFmtId="4" fontId="19" fillId="5" borderId="78" xfId="1" applyNumberFormat="1" applyFont="1" applyFill="1" applyBorder="1" applyAlignment="1">
      <alignment vertical="center" wrapText="1"/>
    </xf>
    <xf numFmtId="4" fontId="29" fillId="0" borderId="42" xfId="1" applyNumberFormat="1" applyFont="1" applyBorder="1" applyAlignment="1" applyProtection="1">
      <alignment vertical="center"/>
      <protection locked="0"/>
    </xf>
    <xf numFmtId="4" fontId="29" fillId="0" borderId="73" xfId="1" applyNumberFormat="1" applyFont="1" applyBorder="1" applyAlignment="1" applyProtection="1">
      <alignment vertical="center"/>
      <protection locked="0"/>
    </xf>
    <xf numFmtId="4" fontId="29" fillId="0" borderId="62" xfId="1" applyNumberFormat="1" applyFont="1" applyBorder="1" applyAlignment="1" applyProtection="1">
      <alignment vertical="center"/>
      <protection locked="0"/>
    </xf>
    <xf numFmtId="4" fontId="19" fillId="0" borderId="42" xfId="1" applyNumberFormat="1" applyFont="1" applyFill="1" applyBorder="1" applyAlignment="1" applyProtection="1">
      <alignment vertical="center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67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/>
      <protection locked="0"/>
    </xf>
    <xf numFmtId="4" fontId="29" fillId="0" borderId="7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>
      <alignment vertical="center" wrapText="1"/>
    </xf>
    <xf numFmtId="4" fontId="17" fillId="0" borderId="42" xfId="1" applyNumberFormat="1" applyFont="1" applyFill="1" applyBorder="1" applyAlignment="1" applyProtection="1">
      <alignment vertical="center" wrapText="1"/>
      <protection locked="0"/>
    </xf>
    <xf numFmtId="4" fontId="17" fillId="0" borderId="0" xfId="1" applyNumberFormat="1" applyFont="1" applyFill="1" applyBorder="1" applyAlignment="1" applyProtection="1">
      <alignment vertical="center" wrapText="1"/>
      <protection locked="0"/>
    </xf>
    <xf numFmtId="4" fontId="17" fillId="0" borderId="42" xfId="1" applyNumberFormat="1" applyFont="1" applyFill="1" applyBorder="1" applyAlignment="1" applyProtection="1">
      <alignment vertical="center"/>
      <protection locked="0"/>
    </xf>
    <xf numFmtId="4" fontId="17" fillId="0" borderId="65" xfId="1" applyNumberFormat="1" applyFont="1" applyFill="1" applyBorder="1" applyAlignment="1" applyProtection="1">
      <alignment vertical="center"/>
      <protection locked="0"/>
    </xf>
    <xf numFmtId="4" fontId="17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vertical="center"/>
      <protection locked="0"/>
    </xf>
    <xf numFmtId="4" fontId="17" fillId="0" borderId="74" xfId="1" applyNumberFormat="1" applyFont="1" applyFill="1" applyBorder="1" applyAlignment="1" applyProtection="1">
      <alignment vertical="center"/>
      <protection locked="0"/>
    </xf>
    <xf numFmtId="4" fontId="29" fillId="0" borderId="3" xfId="1" applyNumberFormat="1" applyFont="1" applyFill="1" applyBorder="1" applyAlignment="1" applyProtection="1">
      <alignment vertical="center"/>
      <protection locked="0"/>
    </xf>
    <xf numFmtId="4" fontId="29" fillId="0" borderId="4" xfId="1" applyNumberFormat="1" applyFont="1" applyFill="1" applyBorder="1" applyAlignment="1" applyProtection="1">
      <alignment vertical="center"/>
      <protection locked="0"/>
    </xf>
    <xf numFmtId="4" fontId="29" fillId="0" borderId="3" xfId="1" applyNumberFormat="1" applyFont="1" applyFill="1" applyBorder="1" applyAlignment="1" applyProtection="1">
      <alignment vertical="center"/>
    </xf>
    <xf numFmtId="0" fontId="16" fillId="2" borderId="1" xfId="1" applyFont="1" applyFill="1" applyBorder="1" applyAlignment="1">
      <alignment horizontal="center" vertical="center"/>
    </xf>
    <xf numFmtId="4" fontId="29" fillId="0" borderId="41" xfId="1" applyNumberFormat="1" applyFont="1" applyFill="1" applyBorder="1" applyAlignment="1" applyProtection="1">
      <alignment vertical="center"/>
    </xf>
    <xf numFmtId="4" fontId="29" fillId="0" borderId="5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6" fillId="0" borderId="4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69" xfId="1" applyNumberFormat="1" applyFont="1" applyFill="1" applyBorder="1" applyAlignment="1" applyProtection="1">
      <alignment vertical="center"/>
      <protection locked="0"/>
    </xf>
    <xf numFmtId="4" fontId="29" fillId="0" borderId="74" xfId="1" applyNumberFormat="1" applyFont="1" applyFill="1" applyBorder="1" applyAlignment="1" applyProtection="1">
      <alignment vertical="center" wrapText="1"/>
      <protection locked="0"/>
    </xf>
    <xf numFmtId="4" fontId="16" fillId="0" borderId="3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Fill="1" applyBorder="1" applyAlignment="1" applyProtection="1">
      <alignment vertical="center" wrapText="1"/>
      <protection locked="0"/>
    </xf>
    <xf numFmtId="4" fontId="19" fillId="2" borderId="68" xfId="1" applyNumberFormat="1" applyFont="1" applyFill="1" applyBorder="1" applyAlignment="1">
      <alignment horizontal="center" vertical="center"/>
    </xf>
    <xf numFmtId="4" fontId="19" fillId="2" borderId="3" xfId="1" applyNumberFormat="1" applyFont="1" applyFill="1" applyBorder="1" applyAlignment="1">
      <alignment horizontal="center" vertical="center"/>
    </xf>
    <xf numFmtId="4" fontId="19" fillId="5" borderId="21" xfId="1" applyNumberFormat="1" applyFont="1" applyFill="1" applyBorder="1" applyAlignment="1" applyProtection="1">
      <alignment vertical="center"/>
    </xf>
    <xf numFmtId="4" fontId="19" fillId="5" borderId="6" xfId="1" applyNumberFormat="1" applyFont="1" applyFill="1" applyBorder="1" applyAlignment="1" applyProtection="1">
      <alignment vertical="center"/>
    </xf>
    <xf numFmtId="4" fontId="19" fillId="2" borderId="59" xfId="1" applyNumberFormat="1" applyFont="1" applyFill="1" applyBorder="1" applyAlignment="1" applyProtection="1">
      <alignment horizontal="center" vertical="center"/>
      <protection locked="0"/>
    </xf>
    <xf numFmtId="4" fontId="16" fillId="5" borderId="33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59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Fill="1" applyBorder="1" applyAlignment="1" applyProtection="1">
      <alignment horizontal="left" vertical="center"/>
      <protection locked="0"/>
    </xf>
    <xf numFmtId="4" fontId="29" fillId="0" borderId="33" xfId="1" applyNumberFormat="1" applyFont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horizontal="left" vertical="center"/>
      <protection locked="0"/>
    </xf>
    <xf numFmtId="4" fontId="19" fillId="5" borderId="67" xfId="1" applyNumberFormat="1" applyFont="1" applyFill="1" applyBorder="1" applyAlignment="1" applyProtection="1">
      <alignment horizontal="left" vertical="center"/>
      <protection locked="0"/>
    </xf>
    <xf numFmtId="4" fontId="29" fillId="0" borderId="1" xfId="1" applyNumberFormat="1" applyFont="1" applyBorder="1" applyAlignment="1" applyProtection="1">
      <alignment vertical="center"/>
      <protection locked="0"/>
    </xf>
    <xf numFmtId="4" fontId="19" fillId="0" borderId="4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Border="1" applyAlignment="1" applyProtection="1">
      <alignment vertical="center"/>
      <protection locked="0"/>
    </xf>
    <xf numFmtId="4" fontId="33" fillId="0" borderId="59" xfId="1" applyNumberFormat="1" applyFont="1" applyBorder="1" applyAlignment="1" applyProtection="1">
      <alignment vertical="center"/>
      <protection locked="0"/>
    </xf>
    <xf numFmtId="0" fontId="17" fillId="0" borderId="68" xfId="1" applyFont="1" applyBorder="1" applyAlignment="1">
      <alignment vertical="center"/>
    </xf>
    <xf numFmtId="4" fontId="19" fillId="2" borderId="1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left" vertical="center" wrapText="1"/>
    </xf>
    <xf numFmtId="4" fontId="17" fillId="0" borderId="31" xfId="1" applyNumberFormat="1" applyFont="1" applyFill="1" applyBorder="1" applyAlignment="1" applyProtection="1">
      <alignment vertical="center"/>
      <protection locked="0"/>
    </xf>
    <xf numFmtId="4" fontId="17" fillId="0" borderId="33" xfId="1" applyNumberFormat="1" applyFont="1" applyFill="1" applyBorder="1" applyAlignment="1" applyProtection="1">
      <alignment vertical="center"/>
      <protection locked="0"/>
    </xf>
    <xf numFmtId="4" fontId="17" fillId="0" borderId="37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Fill="1" applyBorder="1" applyAlignment="1" applyProtection="1">
      <alignment vertical="center"/>
      <protection locked="0"/>
    </xf>
    <xf numFmtId="4" fontId="17" fillId="0" borderId="70" xfId="1" applyNumberFormat="1" applyFont="1" applyFill="1" applyBorder="1" applyAlignment="1" applyProtection="1">
      <alignment vertical="center"/>
      <protection locked="0"/>
    </xf>
    <xf numFmtId="4" fontId="17" fillId="0" borderId="69" xfId="1" applyNumberFormat="1" applyFont="1" applyFill="1" applyBorder="1" applyAlignment="1" applyProtection="1">
      <alignment vertical="center" wrapText="1"/>
      <protection locked="0"/>
    </xf>
    <xf numFmtId="4" fontId="17" fillId="0" borderId="22" xfId="1" applyNumberFormat="1" applyFont="1" applyFill="1" applyBorder="1" applyAlignment="1" applyProtection="1">
      <alignment vertical="center"/>
      <protection locked="0"/>
    </xf>
    <xf numFmtId="4" fontId="17" fillId="0" borderId="58" xfId="1" applyNumberFormat="1" applyFont="1" applyFill="1" applyBorder="1" applyAlignment="1" applyProtection="1">
      <alignment vertical="center"/>
      <protection locked="0"/>
    </xf>
    <xf numFmtId="4" fontId="29" fillId="0" borderId="47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59" xfId="1" applyNumberFormat="1" applyFont="1" applyFill="1" applyBorder="1" applyAlignment="1">
      <alignment horizontal="left" vertical="center" wrapText="1"/>
    </xf>
    <xf numFmtId="4" fontId="29" fillId="0" borderId="42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>
      <alignment horizontal="left" wrapText="1" indent="1"/>
    </xf>
    <xf numFmtId="0" fontId="6" fillId="0" borderId="98" xfId="1" applyFont="1" applyFill="1" applyBorder="1" applyAlignment="1">
      <alignment horizontal="left" wrapText="1" indent="1"/>
    </xf>
    <xf numFmtId="0" fontId="35" fillId="0" borderId="2" xfId="1" applyFont="1" applyFill="1" applyBorder="1" applyAlignment="1">
      <alignment vertical="center" wrapText="1"/>
    </xf>
    <xf numFmtId="0" fontId="35" fillId="0" borderId="34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left" wrapText="1" indent="1"/>
    </xf>
    <xf numFmtId="4" fontId="16" fillId="2" borderId="67" xfId="1" applyNumberFormat="1" applyFont="1" applyFill="1" applyBorder="1" applyAlignment="1" applyProtection="1">
      <alignment vertical="center" wrapText="1"/>
      <protection locked="0"/>
    </xf>
    <xf numFmtId="4" fontId="19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/>
      <protection locked="0"/>
    </xf>
    <xf numFmtId="4" fontId="1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01" xfId="1" applyNumberFormat="1" applyFont="1" applyFill="1" applyBorder="1" applyAlignment="1" applyProtection="1">
      <alignment horizontal="right" vertical="center" wrapText="1"/>
    </xf>
    <xf numFmtId="4" fontId="33" fillId="0" borderId="51" xfId="1" applyNumberFormat="1" applyFont="1" applyFill="1" applyBorder="1" applyAlignment="1" applyProtection="1">
      <alignment horizontal="right" vertical="center" wrapText="1"/>
      <protection locked="0"/>
    </xf>
    <xf numFmtId="4" fontId="29" fillId="0" borderId="80" xfId="1" applyNumberFormat="1" applyFont="1" applyFill="1" applyBorder="1" applyAlignment="1" applyProtection="1">
      <alignment horizontal="right" vertical="center" wrapText="1"/>
    </xf>
    <xf numFmtId="4" fontId="29" fillId="0" borderId="59" xfId="1" applyNumberFormat="1" applyFont="1" applyFill="1" applyBorder="1" applyAlignment="1">
      <alignment horizontal="left" vertical="center"/>
    </xf>
    <xf numFmtId="4" fontId="29" fillId="0" borderId="34" xfId="1" applyNumberFormat="1" applyFont="1" applyBorder="1" applyAlignment="1" applyProtection="1">
      <alignment horizontal="justify" vertical="center"/>
      <protection locked="0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13" fillId="0" borderId="0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8" fillId="0" borderId="0" xfId="1" applyFont="1" applyAlignment="1"/>
    <xf numFmtId="4" fontId="11" fillId="0" borderId="0" xfId="1" applyNumberFormat="1" applyFont="1" applyAlignment="1">
      <alignment vertical="center"/>
    </xf>
    <xf numFmtId="0" fontId="8" fillId="0" borderId="0" xfId="1" applyFont="1" applyFill="1" applyAlignment="1"/>
    <xf numFmtId="0" fontId="6" fillId="0" borderId="0" xfId="1" applyFont="1" applyAlignment="1"/>
    <xf numFmtId="0" fontId="8" fillId="0" borderId="0" xfId="1" applyFont="1" applyAlignment="1">
      <alignment vertical="center" wrapText="1"/>
    </xf>
    <xf numFmtId="14" fontId="6" fillId="0" borderId="0" xfId="1" applyNumberFormat="1" applyFont="1" applyBorder="1" applyAlignment="1">
      <alignment wrapText="1"/>
    </xf>
    <xf numFmtId="4" fontId="19" fillId="0" borderId="0" xfId="1" applyNumberFormat="1" applyFont="1" applyAlignment="1">
      <alignment vertical="center" wrapText="1"/>
    </xf>
    <xf numFmtId="4" fontId="17" fillId="0" borderId="33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vertical="center"/>
      <protection locked="0"/>
    </xf>
    <xf numFmtId="4" fontId="29" fillId="0" borderId="63" xfId="1" applyNumberFormat="1" applyFont="1" applyFill="1" applyBorder="1" applyAlignment="1" applyProtection="1">
      <alignment vertical="center"/>
      <protection locked="0"/>
    </xf>
    <xf numFmtId="4" fontId="29" fillId="0" borderId="71" xfId="1" applyNumberFormat="1" applyFont="1" applyFill="1" applyBorder="1" applyAlignment="1" applyProtection="1">
      <alignment vertical="center"/>
      <protection locked="0"/>
    </xf>
    <xf numFmtId="4" fontId="17" fillId="0" borderId="38" xfId="1" applyNumberFormat="1" applyFont="1" applyFill="1" applyBorder="1" applyAlignment="1" applyProtection="1">
      <alignment vertical="center" wrapText="1"/>
      <protection locked="0"/>
    </xf>
    <xf numFmtId="4" fontId="29" fillId="0" borderId="37" xfId="1" applyNumberFormat="1" applyFont="1" applyFill="1" applyBorder="1" applyAlignment="1" applyProtection="1">
      <alignment vertical="center"/>
      <protection locked="0"/>
    </xf>
    <xf numFmtId="4" fontId="17" fillId="0" borderId="32" xfId="1" applyNumberFormat="1" applyFont="1" applyFill="1" applyBorder="1" applyAlignment="1" applyProtection="1">
      <alignment vertical="center" wrapText="1"/>
      <protection locked="0"/>
    </xf>
    <xf numFmtId="4" fontId="1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" fontId="19" fillId="0" borderId="0" xfId="1" applyNumberFormat="1" applyFont="1" applyAlignment="1" applyProtection="1">
      <alignment vertical="center"/>
      <protection locked="0"/>
    </xf>
    <xf numFmtId="4" fontId="19" fillId="0" borderId="0" xfId="1" applyNumberFormat="1" applyFont="1" applyFill="1" applyAlignment="1">
      <alignment vertical="center" wrapText="1"/>
    </xf>
    <xf numFmtId="4" fontId="16" fillId="0" borderId="0" xfId="1" applyNumberFormat="1" applyFont="1" applyFill="1" applyAlignment="1" applyProtection="1">
      <alignment vertical="center" wrapText="1"/>
      <protection locked="0"/>
    </xf>
    <xf numFmtId="0" fontId="12" fillId="0" borderId="0" xfId="1" applyFont="1" applyAlignment="1">
      <alignment wrapText="1"/>
    </xf>
    <xf numFmtId="0" fontId="17" fillId="0" borderId="0" xfId="1" applyFont="1" applyFill="1" applyAlignment="1"/>
    <xf numFmtId="14" fontId="18" fillId="0" borderId="0" xfId="1" applyNumberFormat="1" applyFont="1" applyBorder="1" applyAlignment="1">
      <alignment wrapText="1"/>
    </xf>
    <xf numFmtId="0" fontId="18" fillId="0" borderId="0" xfId="1" applyFont="1" applyBorder="1" applyAlignment="1">
      <alignment wrapText="1"/>
    </xf>
    <xf numFmtId="4" fontId="19" fillId="0" borderId="0" xfId="1" applyNumberFormat="1" applyFont="1" applyFill="1" applyBorder="1" applyAlignment="1">
      <alignment vertical="center" wrapText="1"/>
    </xf>
    <xf numFmtId="4" fontId="26" fillId="0" borderId="0" xfId="1" applyNumberFormat="1" applyFont="1" applyFill="1" applyAlignment="1">
      <alignment vertical="center" wrapText="1"/>
    </xf>
    <xf numFmtId="4" fontId="19" fillId="0" borderId="0" xfId="1" applyNumberFormat="1" applyFont="1" applyFill="1" applyAlignment="1" applyProtection="1">
      <alignment vertical="center"/>
      <protection locked="0"/>
    </xf>
    <xf numFmtId="4" fontId="6" fillId="0" borderId="55" xfId="1" applyNumberFormat="1" applyFont="1" applyFill="1" applyBorder="1" applyAlignment="1">
      <alignment horizontal="right"/>
    </xf>
    <xf numFmtId="4" fontId="12" fillId="0" borderId="19" xfId="1" applyNumberFormat="1" applyFont="1" applyFill="1" applyBorder="1" applyAlignment="1">
      <alignment horizontal="right"/>
    </xf>
    <xf numFmtId="4" fontId="11" fillId="0" borderId="9" xfId="1" applyNumberFormat="1" applyFont="1" applyBorder="1" applyAlignment="1">
      <alignment vertical="center"/>
    </xf>
    <xf numFmtId="0" fontId="12" fillId="6" borderId="102" xfId="0" applyFont="1" applyFill="1" applyBorder="1" applyAlignment="1">
      <alignment horizontal="left" wrapText="1"/>
    </xf>
    <xf numFmtId="4" fontId="19" fillId="6" borderId="31" xfId="4" applyNumberFormat="1" applyFont="1" applyFill="1" applyBorder="1" applyAlignment="1">
      <alignment vertical="center"/>
    </xf>
    <xf numFmtId="4" fontId="37" fillId="0" borderId="48" xfId="0" applyNumberFormat="1" applyFont="1" applyFill="1" applyBorder="1" applyAlignment="1">
      <alignment horizontal="left" vertical="center" wrapText="1"/>
    </xf>
    <xf numFmtId="4" fontId="36" fillId="0" borderId="44" xfId="0" applyNumberFormat="1" applyFont="1" applyFill="1" applyBorder="1" applyAlignment="1">
      <alignment horizontal="right" vertical="center" wrapText="1"/>
    </xf>
    <xf numFmtId="4" fontId="29" fillId="0" borderId="37" xfId="1" applyNumberFormat="1" applyFont="1" applyBorder="1" applyAlignment="1" applyProtection="1">
      <alignment horizontal="right" vertical="center"/>
      <protection locked="0"/>
    </xf>
    <xf numFmtId="0" fontId="16" fillId="0" borderId="31" xfId="4" applyFont="1" applyFill="1" applyBorder="1" applyAlignment="1" applyProtection="1">
      <alignment vertical="center" wrapText="1"/>
    </xf>
    <xf numFmtId="4" fontId="16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0" xfId="0" applyNumberFormat="1" applyFont="1" applyFill="1" applyBorder="1" applyAlignment="1" applyProtection="1">
      <alignment vertical="center" wrapText="1"/>
      <protection locked="0"/>
    </xf>
    <xf numFmtId="4" fontId="19" fillId="0" borderId="30" xfId="0" applyNumberFormat="1" applyFont="1" applyFill="1" applyBorder="1" applyAlignment="1" applyProtection="1">
      <alignment horizontal="right" vertical="center" wrapText="1"/>
    </xf>
    <xf numFmtId="0" fontId="16" fillId="0" borderId="30" xfId="4" applyFont="1" applyFill="1" applyBorder="1" applyAlignment="1" applyProtection="1">
      <alignment vertical="center" wrapText="1"/>
    </xf>
    <xf numFmtId="4" fontId="29" fillId="0" borderId="103" xfId="1" applyNumberFormat="1" applyFont="1" applyFill="1" applyBorder="1" applyAlignment="1" applyProtection="1">
      <alignment vertical="center" wrapText="1"/>
      <protection locked="0"/>
    </xf>
    <xf numFmtId="4" fontId="29" fillId="0" borderId="44" xfId="1" applyNumberFormat="1" applyFont="1" applyFill="1" applyBorder="1" applyAlignment="1" applyProtection="1">
      <alignment vertical="center" wrapText="1"/>
      <protection locked="0"/>
    </xf>
    <xf numFmtId="4" fontId="17" fillId="0" borderId="44" xfId="1" applyNumberFormat="1" applyFont="1" applyFill="1" applyBorder="1" applyAlignment="1" applyProtection="1">
      <alignment vertical="center" wrapText="1"/>
      <protection locked="0"/>
    </xf>
    <xf numFmtId="4" fontId="29" fillId="0" borderId="104" xfId="1" applyNumberFormat="1" applyFont="1" applyFill="1" applyBorder="1" applyAlignment="1" applyProtection="1">
      <alignment vertical="center" wrapText="1"/>
      <protection locked="0"/>
    </xf>
    <xf numFmtId="4" fontId="29" fillId="0" borderId="7" xfId="1" applyNumberFormat="1" applyFont="1" applyBorder="1" applyAlignment="1" applyProtection="1">
      <alignment vertical="center"/>
      <protection locked="0"/>
    </xf>
    <xf numFmtId="4" fontId="29" fillId="0" borderId="9" xfId="1" applyNumberFormat="1" applyFont="1" applyBorder="1" applyAlignment="1" applyProtection="1">
      <alignment vertical="center"/>
      <protection locked="0"/>
    </xf>
    <xf numFmtId="4" fontId="29" fillId="0" borderId="52" xfId="1" applyNumberFormat="1" applyFont="1" applyBorder="1" applyAlignment="1" applyProtection="1">
      <alignment vertical="center"/>
      <protection locked="0"/>
    </xf>
    <xf numFmtId="4" fontId="29" fillId="0" borderId="0" xfId="1" applyNumberFormat="1" applyFont="1" applyBorder="1" applyAlignment="1" applyProtection="1">
      <alignment vertical="center"/>
      <protection locked="0"/>
    </xf>
    <xf numFmtId="0" fontId="16" fillId="6" borderId="3" xfId="4" applyFont="1" applyFill="1" applyBorder="1" applyAlignment="1" applyProtection="1">
      <alignment vertical="center" wrapText="1"/>
    </xf>
    <xf numFmtId="0" fontId="16" fillId="6" borderId="4" xfId="4" applyFont="1" applyFill="1" applyBorder="1" applyAlignment="1" applyProtection="1">
      <alignment vertical="center" wrapText="1"/>
    </xf>
    <xf numFmtId="0" fontId="16" fillId="6" borderId="5" xfId="4" applyFont="1" applyFill="1" applyBorder="1" applyAlignment="1" applyProtection="1">
      <alignment vertical="center" wrapText="1"/>
    </xf>
    <xf numFmtId="0" fontId="12" fillId="0" borderId="0" xfId="1" applyFont="1" applyFill="1" applyAlignment="1">
      <alignment wrapText="1"/>
    </xf>
    <xf numFmtId="0" fontId="12" fillId="0" borderId="0" xfId="1" applyFont="1" applyFill="1" applyAlignment="1">
      <alignment horizontal="left"/>
    </xf>
    <xf numFmtId="0" fontId="12" fillId="6" borderId="56" xfId="0" applyFont="1" applyFill="1" applyBorder="1" applyAlignment="1">
      <alignment horizontal="left" wrapText="1"/>
    </xf>
    <xf numFmtId="4" fontId="19" fillId="6" borderId="24" xfId="4" applyNumberFormat="1" applyFont="1" applyFill="1" applyBorder="1" applyAlignment="1">
      <alignment vertical="center"/>
    </xf>
    <xf numFmtId="0" fontId="16" fillId="0" borderId="0" xfId="1" applyFont="1" applyFill="1" applyAlignment="1"/>
    <xf numFmtId="0" fontId="16" fillId="0" borderId="0" xfId="4" applyFont="1" applyFill="1" applyBorder="1" applyAlignment="1" applyProtection="1">
      <alignment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1" applyNumberFormat="1" applyFont="1" applyFill="1" applyAlignment="1">
      <alignment horizontal="left" vertical="center"/>
    </xf>
    <xf numFmtId="4" fontId="19" fillId="0" borderId="0" xfId="1" applyNumberFormat="1" applyFont="1" applyFill="1" applyAlignment="1" applyProtection="1">
      <alignment horizontal="left" vertical="center"/>
      <protection locked="0"/>
    </xf>
    <xf numFmtId="4" fontId="29" fillId="0" borderId="33" xfId="1" applyNumberFormat="1" applyFont="1" applyBorder="1" applyAlignment="1" applyProtection="1">
      <alignment horizontal="right" vertical="center"/>
      <protection locked="0"/>
    </xf>
    <xf numFmtId="4" fontId="29" fillId="0" borderId="59" xfId="1" applyNumberFormat="1" applyFont="1" applyFill="1" applyBorder="1" applyAlignment="1" applyProtection="1">
      <alignment vertical="center"/>
    </xf>
    <xf numFmtId="4" fontId="29" fillId="0" borderId="32" xfId="1" applyNumberFormat="1" applyFont="1" applyFill="1" applyBorder="1" applyAlignment="1" applyProtection="1">
      <alignment vertical="center" wrapText="1"/>
      <protection locked="0"/>
    </xf>
    <xf numFmtId="4" fontId="29" fillId="0" borderId="31" xfId="1" applyNumberFormat="1" applyFont="1" applyFill="1" applyBorder="1" applyAlignment="1" applyProtection="1">
      <alignment vertical="center"/>
    </xf>
    <xf numFmtId="4" fontId="33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33" fillId="0" borderId="47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34" xfId="1" applyNumberFormat="1" applyFont="1" applyBorder="1" applyAlignment="1" applyProtection="1">
      <alignment vertical="center"/>
      <protection locked="0"/>
    </xf>
    <xf numFmtId="4" fontId="29" fillId="0" borderId="34" xfId="1" applyNumberFormat="1" applyFont="1" applyBorder="1" applyAlignment="1" applyProtection="1">
      <alignment horizontal="left" vertical="center" wrapText="1"/>
      <protection locked="0"/>
    </xf>
    <xf numFmtId="4" fontId="6" fillId="0" borderId="9" xfId="1" applyNumberFormat="1" applyFont="1" applyBorder="1" applyAlignment="1">
      <alignment wrapText="1"/>
    </xf>
    <xf numFmtId="4" fontId="11" fillId="0" borderId="31" xfId="0" applyNumberFormat="1" applyFont="1" applyFill="1" applyBorder="1" applyAlignment="1" applyProtection="1">
      <alignment vertical="center"/>
      <protection locked="0"/>
    </xf>
    <xf numFmtId="4" fontId="10" fillId="0" borderId="43" xfId="0" applyNumberFormat="1" applyFont="1" applyFill="1" applyBorder="1" applyAlignment="1" applyProtection="1">
      <alignment vertical="center"/>
      <protection locked="0"/>
    </xf>
    <xf numFmtId="4" fontId="11" fillId="0" borderId="33" xfId="0" applyNumberFormat="1" applyFont="1" applyFill="1" applyBorder="1" applyAlignment="1" applyProtection="1">
      <alignment vertical="center"/>
      <protection locked="0"/>
    </xf>
    <xf numFmtId="4" fontId="19" fillId="0" borderId="0" xfId="1" applyNumberFormat="1" applyFont="1" applyFill="1" applyAlignment="1" applyProtection="1">
      <alignment horizontal="left" vertical="center"/>
      <protection locked="0"/>
    </xf>
    <xf numFmtId="0" fontId="6" fillId="0" borderId="0" xfId="1" applyFont="1" applyAlignment="1">
      <alignment horizontal="center" wrapText="1"/>
    </xf>
    <xf numFmtId="0" fontId="6" fillId="0" borderId="0" xfId="1" applyFont="1" applyAlignment="1"/>
    <xf numFmtId="4" fontId="19" fillId="0" borderId="0" xfId="1" applyNumberFormat="1" applyFont="1" applyAlignment="1">
      <alignment horizontal="left" vertical="center"/>
    </xf>
    <xf numFmtId="0" fontId="17" fillId="0" borderId="0" xfId="2" applyFont="1" applyAlignment="1">
      <alignment horizontal="left" wrapText="1"/>
    </xf>
    <xf numFmtId="14" fontId="6" fillId="0" borderId="0" xfId="1" applyNumberFormat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left"/>
    </xf>
    <xf numFmtId="0" fontId="8" fillId="0" borderId="0" xfId="1" applyFont="1" applyFill="1" applyAlignment="1"/>
    <xf numFmtId="0" fontId="8" fillId="0" borderId="0" xfId="1" applyFont="1" applyFill="1" applyBorder="1" applyAlignment="1">
      <alignment wrapText="1"/>
    </xf>
    <xf numFmtId="4" fontId="16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4" fontId="17" fillId="0" borderId="0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4" fontId="21" fillId="0" borderId="0" xfId="1" applyNumberFormat="1" applyFont="1" applyFill="1" applyAlignment="1">
      <alignment horizontal="left" vertical="center"/>
    </xf>
    <xf numFmtId="4" fontId="39" fillId="0" borderId="0" xfId="0" applyNumberFormat="1" applyFont="1" applyFill="1" applyAlignment="1" applyProtection="1">
      <alignment horizontal="left" vertical="center" wrapText="1"/>
      <protection locked="0"/>
    </xf>
  </cellXfs>
  <cellStyles count="7">
    <cellStyle name="Normal 3" xfId="3"/>
    <cellStyle name="Normalny" xfId="0" builtinId="0"/>
    <cellStyle name="Normalny 2" xfId="1"/>
    <cellStyle name="Normalny 2 2" xfId="4"/>
    <cellStyle name="Normalny 3" xfId="6"/>
    <cellStyle name="Normalny_dzielnice termin spr." xfId="2"/>
    <cellStyle name="Walutowy 2" xfId="5"/>
  </cellStyles>
  <dxfs count="185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i val="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  <numFmt numFmtId="167" formatCode="#\ ##,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justify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69</xdr:row>
      <xdr:rowOff>0</xdr:rowOff>
    </xdr:from>
    <xdr:to>
      <xdr:col>5</xdr:col>
      <xdr:colOff>76200</xdr:colOff>
      <xdr:row>90</xdr:row>
      <xdr:rowOff>76200</xdr:rowOff>
    </xdr:to>
    <xdr:cxnSp macro="">
      <xdr:nvCxnSpPr>
        <xdr:cNvPr id="2" name="Łącznik prosty 1" descr="Przekreślona pusta tabela" title="Przekreślona pusta tabela"/>
        <xdr:cNvCxnSpPr/>
      </xdr:nvCxnSpPr>
      <xdr:spPr>
        <a:xfrm>
          <a:off x="38100" y="16392525"/>
          <a:ext cx="8334375" cy="6772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94</xdr:row>
      <xdr:rowOff>161925</xdr:rowOff>
    </xdr:from>
    <xdr:to>
      <xdr:col>4</xdr:col>
      <xdr:colOff>142875</xdr:colOff>
      <xdr:row>99</xdr:row>
      <xdr:rowOff>19050</xdr:rowOff>
    </xdr:to>
    <xdr:cxnSp macro="">
      <xdr:nvCxnSpPr>
        <xdr:cNvPr id="3" name="Łącznik prosty 2" descr="Przekreślona pusta tabela" title="Przekreślona pusta tabela"/>
        <xdr:cNvCxnSpPr/>
      </xdr:nvCxnSpPr>
      <xdr:spPr>
        <a:xfrm>
          <a:off x="19050" y="24736425"/>
          <a:ext cx="6686550" cy="809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143</xdr:row>
      <xdr:rowOff>66675</xdr:rowOff>
    </xdr:from>
    <xdr:to>
      <xdr:col>8</xdr:col>
      <xdr:colOff>1123950</xdr:colOff>
      <xdr:row>159</xdr:row>
      <xdr:rowOff>133350</xdr:rowOff>
    </xdr:to>
    <xdr:cxnSp macro="">
      <xdr:nvCxnSpPr>
        <xdr:cNvPr id="5" name="Łącznik prosty 4" descr="Przekreślona pusta tabela" title="Przekreślona pusta tabela"/>
        <xdr:cNvCxnSpPr/>
      </xdr:nvCxnSpPr>
      <xdr:spPr>
        <a:xfrm>
          <a:off x="19050" y="36271200"/>
          <a:ext cx="12801600" cy="499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229</xdr:row>
      <xdr:rowOff>38100</xdr:rowOff>
    </xdr:from>
    <xdr:to>
      <xdr:col>3</xdr:col>
      <xdr:colOff>76200</xdr:colOff>
      <xdr:row>232</xdr:row>
      <xdr:rowOff>180975</xdr:rowOff>
    </xdr:to>
    <xdr:cxnSp macro="">
      <xdr:nvCxnSpPr>
        <xdr:cNvPr id="6" name="Łącznik prosty 5" descr="Przekreślona pusta tabela" title="Przekreślona pusta tabela"/>
        <xdr:cNvCxnSpPr/>
      </xdr:nvCxnSpPr>
      <xdr:spPr>
        <a:xfrm>
          <a:off x="47625" y="66951225"/>
          <a:ext cx="6057900" cy="1190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426</xdr:row>
      <xdr:rowOff>0</xdr:rowOff>
    </xdr:from>
    <xdr:to>
      <xdr:col>3</xdr:col>
      <xdr:colOff>9525</xdr:colOff>
      <xdr:row>432</xdr:row>
      <xdr:rowOff>0</xdr:rowOff>
    </xdr:to>
    <xdr:cxnSp macro="">
      <xdr:nvCxnSpPr>
        <xdr:cNvPr id="7" name="Łącznik prosty 6" descr="Przekreślona pusta tabela" title="Przekreślona pusta tabela"/>
        <xdr:cNvCxnSpPr/>
      </xdr:nvCxnSpPr>
      <xdr:spPr>
        <a:xfrm>
          <a:off x="0" y="117652800"/>
          <a:ext cx="6038850" cy="1323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239</xdr:row>
      <xdr:rowOff>152400</xdr:rowOff>
    </xdr:from>
    <xdr:to>
      <xdr:col>5</xdr:col>
      <xdr:colOff>47625</xdr:colOff>
      <xdr:row>258</xdr:row>
      <xdr:rowOff>47625</xdr:rowOff>
    </xdr:to>
    <xdr:cxnSp macro="">
      <xdr:nvCxnSpPr>
        <xdr:cNvPr id="8" name="Łącznik prosty 7" descr="Przekreślona pusta tabela" title="Przekreślona pusta tabela"/>
        <xdr:cNvCxnSpPr/>
      </xdr:nvCxnSpPr>
      <xdr:spPr>
        <a:xfrm>
          <a:off x="19050" y="69494400"/>
          <a:ext cx="8324850" cy="383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262</xdr:row>
      <xdr:rowOff>180975</xdr:rowOff>
    </xdr:from>
    <xdr:to>
      <xdr:col>5</xdr:col>
      <xdr:colOff>171450</xdr:colOff>
      <xdr:row>273</xdr:row>
      <xdr:rowOff>28575</xdr:rowOff>
    </xdr:to>
    <xdr:cxnSp macro="">
      <xdr:nvCxnSpPr>
        <xdr:cNvPr id="9" name="Łącznik prosty 8" descr="Przekreślona pusta tabela" title="Przekreślona pusta tabela"/>
        <xdr:cNvCxnSpPr/>
      </xdr:nvCxnSpPr>
      <xdr:spPr>
        <a:xfrm>
          <a:off x="0" y="75676125"/>
          <a:ext cx="8467725" cy="3476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418</xdr:row>
      <xdr:rowOff>9525</xdr:rowOff>
    </xdr:from>
    <xdr:to>
      <xdr:col>2</xdr:col>
      <xdr:colOff>47625</xdr:colOff>
      <xdr:row>420</xdr:row>
      <xdr:rowOff>180975</xdr:rowOff>
    </xdr:to>
    <xdr:cxnSp macro="">
      <xdr:nvCxnSpPr>
        <xdr:cNvPr id="11" name="Łącznik prosty 10" descr="Przekreślona pusta tabela" title="Przekreślona pusta tabela"/>
        <xdr:cNvCxnSpPr/>
      </xdr:nvCxnSpPr>
      <xdr:spPr>
        <a:xfrm>
          <a:off x="19050" y="115404900"/>
          <a:ext cx="4924425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464</xdr:row>
      <xdr:rowOff>85725</xdr:rowOff>
    </xdr:from>
    <xdr:to>
      <xdr:col>2</xdr:col>
      <xdr:colOff>1095375</xdr:colOff>
      <xdr:row>466</xdr:row>
      <xdr:rowOff>247650</xdr:rowOff>
    </xdr:to>
    <xdr:cxnSp macro="">
      <xdr:nvCxnSpPr>
        <xdr:cNvPr id="12" name="Łącznik prosty 11" descr="Przekreślona pusta tabela" title="Przekreślona pusta tabela"/>
        <xdr:cNvCxnSpPr/>
      </xdr:nvCxnSpPr>
      <xdr:spPr>
        <a:xfrm>
          <a:off x="76200" y="126444375"/>
          <a:ext cx="5915025" cy="3343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380</xdr:row>
      <xdr:rowOff>0</xdr:rowOff>
    </xdr:from>
    <xdr:to>
      <xdr:col>8</xdr:col>
      <xdr:colOff>1038225</xdr:colOff>
      <xdr:row>398</xdr:row>
      <xdr:rowOff>142875</xdr:rowOff>
    </xdr:to>
    <xdr:cxnSp macro="">
      <xdr:nvCxnSpPr>
        <xdr:cNvPr id="16" name="Łącznik prosty 15"/>
        <xdr:cNvCxnSpPr/>
      </xdr:nvCxnSpPr>
      <xdr:spPr>
        <a:xfrm>
          <a:off x="28575" y="104422575"/>
          <a:ext cx="12706350" cy="597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Rzeczowy_majątek_trwały_zmiany_w_ciągu_roku_obrotowego" displayName="Rzeczowy_majątek_trwały_zmiany_w_ciągu_roku_obrotowego" ref="A6:I34" totalsRowShown="0" headerRowDxfId="184" headerRowBorderDxfId="183" tableBorderDxfId="182" headerRowCellStyle="Normalny 2">
  <autoFilter ref="A6:I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zeczowy majątek trwały"/>
    <tableColumn id="2" name="Grunty"/>
    <tableColumn id="3" name="w tym: Grunty stanowiące własność jednostki samorządu terytorialnego, przekazane w użytkowanie wieczyste innym podmiotom"/>
    <tableColumn id="4" name="Budynki, lokale i obiekty inżynierii lądowej i wodnej"/>
    <tableColumn id="5" name="Urządzenia techniczne i maszyny"/>
    <tableColumn id="6" name="Środki transportu"/>
    <tableColumn id="7" name="Inne środki trwałe" dataDxfId="181"/>
    <tableColumn id="8" name="Środki trwałe w budowie (inwestycje) oraz zaliczki na poczet inwestycji"/>
    <tableColumn id="9" name="RAZ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zeczowy majątek trwały - zmiany w ciągu roku obrotowego" altTextSummary="Kolumna Rzeczowy majątek trwaly określa salda oraz zdarzenia mające miejsce w poszczególnych grupach środków trwałych. W pozostałych kolumnach przedstawiono wartości właściwe dla poszczególnych grup środków trwałych."/>
    </ext>
  </extLst>
</table>
</file>

<file path=xl/tables/table10.xml><?xml version="1.0" encoding="utf-8"?>
<table xmlns="http://schemas.openxmlformats.org/spreadsheetml/2006/main" id="10" name="Rezerwy_na_zobowiązania_zmiany_w_ciągu_roku_obrotowego" displayName="Rezerwy_na_zobowiązania_zmiany_w_ciągu_roku_obrotowego" ref="A176:F207" totalsRowShown="0" tableBorderDxfId="141">
  <autoFilter ref="A176:F20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ategoria"/>
    <tableColumn id="3" name="Stan na początek roku " dataDxfId="140" dataCellStyle="Normalny 2"/>
    <tableColumn id="4" name="Utworzone" dataDxfId="139" dataCellStyle="Normalny 2"/>
    <tableColumn id="5" name="Wykorzystane *" dataDxfId="138" dataCellStyle="Normalny 2"/>
    <tableColumn id="6" name="Rozwiązane **" dataDxfId="137" dataCellStyle="Normalny 2"/>
    <tableColumn id="7" name="Stan na koniec roku " dataDxfId="1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ezerwy na zobowiązania - zmiany w ciągu roku obrotowego" altTextSummary="Tabela przedstawia rezerwy na zobowiązania w podziale na stany początkowe, zmiany w ciagu roku, stany końcowe oraz grupy rezerw."/>
    </ext>
  </extLst>
</table>
</file>

<file path=xl/tables/table11.xml><?xml version="1.0" encoding="utf-8"?>
<table xmlns="http://schemas.openxmlformats.org/spreadsheetml/2006/main" id="11" name="Zobowiązania_długoterminowe_według_zapadalności" displayName="Zobowiązania_długoterminowe_według_zapadalności" ref="A212:C225" totalsRowShown="0" headerRowBorderDxfId="135" tableBorderDxfId="134">
  <autoFilter ref="A212:C225">
    <filterColumn colId="0" hiddenButton="1"/>
    <filterColumn colId="1" hiddenButton="1"/>
    <filterColumn colId="2" hiddenButton="1"/>
  </autoFilter>
  <tableColumns count="3">
    <tableColumn id="1" name="Wyszczególnienie"/>
    <tableColumn id="3" name="Stan na początek roku"/>
    <tableColumn id="4" name="Stan na koniec roku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długoterminowe według zapadalności" altTextSummary="Tabela przedstawia zobowiązania długoterminowe według zapadalności w podziale na terminy zapadalności oraz rodzaje zobowiązań."/>
    </ext>
  </extLst>
</table>
</file>

<file path=xl/tables/table12.xml><?xml version="1.0" encoding="utf-8"?>
<table xmlns="http://schemas.openxmlformats.org/spreadsheetml/2006/main" id="12" name="Kwota_zobowiązań_w_stytuacji_gdy_jednostka_kwalifikuje_umowy_leasingu_zgodnie_z_przepisami_podatkowymi_leasing_operacyjny" displayName="Kwota_zobowiązań_w_stytuacji_gdy_jednostka_kwalifikuje_umowy_leasingu_zgodnie_z_przepisami_podatkowymi_leasing_operacyjny" ref="A230:C233" totalsRowShown="0" headerRowBorderDxfId="133" tableBorderDxfId="132">
  <autoFilter ref="A230:C233">
    <filterColumn colId="0" hiddenButton="1"/>
    <filterColumn colId="1" hiddenButton="1"/>
    <filterColumn colId="2" hiddenButton="1"/>
  </autoFilter>
  <tableColumns count="3">
    <tableColumn id="1" name="Tytuł zobowiązania" dataDxfId="131" totalsRowDxfId="130"/>
    <tableColumn id="3" name="Stan na początek roku "/>
    <tableColumn id="4" name="Stan na koniec roku 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wota zobowiązań w sytuacji gdy jednostka  kwalifikuje umowy leasingu  zgodnie z przepisami podatkowymi (leasing operacyjny), a wg przepisów o rachunkowości byłby to leasing finansowy lub zwrotny " altTextSummary="Przekreślona pusta tabela"/>
    </ext>
  </extLst>
</table>
</file>

<file path=xl/tables/table13.xml><?xml version="1.0" encoding="utf-8"?>
<table xmlns="http://schemas.openxmlformats.org/spreadsheetml/2006/main" id="14" name="Zobowiązania_zabezpieczone_na_majątku_jednostki" displayName="Zobowiązania_zabezpieczone_na_majątku_jednostki" ref="A241:E258" totalsRowShown="0" headerRowBorderDxfId="129" tableBorderDxfId="128">
  <autoFilter ref="A241:E25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Rodzaj (forma) zabezpieczenia"/>
    <tableColumn id="2" name="Kwota"/>
    <tableColumn id="3" name="Kwota2"/>
    <tableColumn id="4" name="w tym na aktywach"/>
    <tableColumn id="5" name="w tym na aktywach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zabezpieczone na majątku jednostki" altTextSummary="Przekreślona pusta tabela"/>
    </ext>
  </extLst>
</table>
</file>

<file path=xl/tables/table14.xml><?xml version="1.0" encoding="utf-8"?>
<table xmlns="http://schemas.openxmlformats.org/spreadsheetml/2006/main" id="15" name="Pozabilansowe_zabezpieczenia_w_tym_również_udzielone_przez_jednostkę_gwarancje_i_poręczenia_także_wekslowe" displayName="Pozabilansowe_zabezpieczenia_w_tym_również_udzielone_przez_jednostkę_gwarancje_i_poręczenia_także_wekslowe" ref="A264:D274" totalsRowShown="0" headerRowBorderDxfId="127" tableBorderDxfId="126">
  <autoFilter ref="A264:D274">
    <filterColumn colId="0" hiddenButton="1"/>
    <filterColumn colId="1" hiddenButton="1"/>
    <filterColumn colId="2" hiddenButton="1"/>
    <filterColumn colId="3" hiddenButton="1"/>
  </autoFilter>
  <tableColumns count="4">
    <tableColumn id="1" name="Tytuł" dataDxfId="125" dataCellStyle="Normalny 2"/>
    <tableColumn id="3" name="Stan na początek roku "/>
    <tableColumn id="4" name="Stan na koniec roku" dataDxfId="124" dataCellStyle="Normalny 2"/>
    <tableColumn id="5" name="Opis charakteru zobowiązania warunkowego, w tym czy zabezpieczone na majątku jednostki" dataDxfId="12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 altTextSummary="Przekreślona pusta tabela"/>
    </ext>
  </extLst>
</table>
</file>

<file path=xl/tables/table15.xml><?xml version="1.0" encoding="utf-8"?>
<table xmlns="http://schemas.openxmlformats.org/spreadsheetml/2006/main" id="16" name="Wykaz_spraw_spornych_z_tytułu_zobowiązań_warunkowych" displayName="Wykaz_spraw_spornych_z_tytułu_zobowiązań_warunkowych" ref="A277:C307" totalsRowShown="0" tableBorderDxfId="122">
  <autoFilter ref="A277:C307">
    <filterColumn colId="0" hiddenButton="1"/>
    <filterColumn colId="1" hiddenButton="1"/>
    <filterColumn colId="2" hiddenButton="1"/>
  </autoFilter>
  <tableColumns count="3">
    <tableColumn id="1" name="Kategoria"/>
    <tableColumn id="3" name="Stan na początek roku " dataDxfId="121" dataCellStyle="Normalny 2"/>
    <tableColumn id="4" name="Stan na koniec roku " dataDxfId="12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ykaz spraw spornych z tytułu zobowiązań warunkowych" altTextSummary="Tabela przedstawia wykaz spraw spornych z tytułu zobowiązań warunkowych według tytułów zobowiązań."/>
    </ext>
  </extLst>
</table>
</file>

<file path=xl/tables/table16.xml><?xml version="1.0" encoding="utf-8"?>
<table xmlns="http://schemas.openxmlformats.org/spreadsheetml/2006/main" id="17" name="Rozliczenia_międzyokresowe_czynne" displayName="Rozliczenia_międzyokresowe_czynne" ref="A314:C337" totalsRowShown="0" tableBorderDxfId="119">
  <autoFilter ref="A314:C337">
    <filterColumn colId="0" hiddenButton="1"/>
    <filterColumn colId="1" hiddenButton="1"/>
    <filterColumn colId="2" hiddenButton="1"/>
  </autoFilter>
  <tableColumns count="3">
    <tableColumn id="1" name="Rozliczenia międzyokresowe czynne" dataDxfId="118" dataCellStyle="Normalny 2"/>
    <tableColumn id="3" name="Stan na początek roku" dataDxfId="117" dataCellStyle="Normalny 2"/>
    <tableColumn id="4" name="Stan na koniec roku" dataDxfId="11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czynne" altTextSummary="Tabela przedstawia rozliczenia miedzyokresowe czynne wedlug rodzajów zakupów."/>
    </ext>
  </extLst>
</table>
</file>

<file path=xl/tables/table17.xml><?xml version="1.0" encoding="utf-8"?>
<table xmlns="http://schemas.openxmlformats.org/spreadsheetml/2006/main" id="18" name="Rozliczenia_międzyokresowe_przychodów_i_rozliczenia_międzyokresowe_bierne" displayName="Rozliczenia_międzyokresowe_przychodów_i_rozliczenia_międzyokresowe_bierne" ref="A343:C357" totalsRowShown="0" headerRowBorderDxfId="115" tableBorderDxfId="114">
  <autoFilter ref="A343:C357">
    <filterColumn colId="0" hiddenButton="1"/>
    <filterColumn colId="1" hiddenButton="1"/>
    <filterColumn colId="2" hiddenButton="1"/>
  </autoFilter>
  <tableColumns count="3">
    <tableColumn id="1" name="Rozliczenia międzyokresowe" dataDxfId="113" dataCellStyle="Normalny 2"/>
    <tableColumn id="3" name="Stan na początek roku" dataDxfId="112" dataCellStyle="Normalny 2"/>
    <tableColumn id="4" name="Stan na koniec roku " dataDxfId="11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przychodów i rozliczenia międzyokresowe bierne" altTextSummary="Tabela zawiera informacje o rozliczeniach międzykokresowych przychodów według rodzajów przychodów. Stan na początek i na koniec roku."/>
    </ext>
  </extLst>
</table>
</file>

<file path=xl/tables/table18.xml><?xml version="1.0" encoding="utf-8"?>
<table xmlns="http://schemas.openxmlformats.org/spreadsheetml/2006/main" id="20" name="Łączna_kwota_otrzymanych_gwarancji_i_poręczeń_niewykazanych_w_bilansie" displayName="Łączna_kwota_otrzymanych_gwarancji_i_poręczeń_niewykazanych_w_bilansie" ref="A362:C364" totalsRowShown="0" headerRowBorderDxfId="110" tableBorderDxfId="109">
  <autoFilter ref="A362:C364">
    <filterColumn colId="0" hiddenButton="1"/>
    <filterColumn colId="1" hiddenButton="1"/>
    <filterColumn colId="2" hiddenButton="1"/>
  </autoFilter>
  <tableColumns count="3">
    <tableColumn id="1" name="Kolumna1" dataDxfId="108"/>
    <tableColumn id="3" name="Stan na początek roku ">
      <calculatedColumnFormula>SUM(B362:B362)</calculatedColumnFormula>
    </tableColumn>
    <tableColumn id="4" name="Stan na koniec roku">
      <calculatedColumnFormula>SUM(C362:C362)</calculatedColumnFormula>
    </tableColumn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 altTextSummary="Dotyczy kont pozabilansowych."/>
    </ext>
  </extLst>
</table>
</file>

<file path=xl/tables/table19.xml><?xml version="1.0" encoding="utf-8"?>
<table xmlns="http://schemas.openxmlformats.org/spreadsheetml/2006/main" id="21" name="Informacja_o_kwocie_wypłaconych_środków_na_świadczenia_pracownicze" displayName="Informacja_o_kwocie_wypłaconych_środków_na_świadczenia_pracownicze" ref="A369:C370" totalsRowShown="0" headerRowDxfId="107" headerRowBorderDxfId="106" tableBorderDxfId="105" totalsRowBorderDxfId="104" headerRowCellStyle="Normalny 2">
  <autoFilter ref="A369:C370">
    <filterColumn colId="0" hiddenButton="1"/>
    <filterColumn colId="1" hiddenButton="1"/>
    <filterColumn colId="2" hiddenButton="1"/>
  </autoFilter>
  <tableColumns count="3">
    <tableColumn id="1" name="Wyszczególnienie" dataDxfId="103" dataCellStyle="Normalny 2"/>
    <tableColumn id="3" name="Kwota wypłaty_x000a_ w roku poprzednim" dataDxfId="102" dataCellStyle="Normalny 2"/>
    <tableColumn id="4" name="Kwota wypłaty_x000a_ w roku bieżącym" dataDxfId="10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wypłaconych środków pieniężnych na świadczenia pracownicze" altTextSummary="Świadczenia pracownicze"/>
    </ext>
  </extLst>
</table>
</file>

<file path=xl/tables/table2.xml><?xml version="1.0" encoding="utf-8"?>
<table xmlns="http://schemas.openxmlformats.org/spreadsheetml/2006/main" id="2" name="Wartości_niematerialne_i_prawne_zmiany_w_ciągu_roku_obrotowego" displayName="Wartości_niematerialne_i_prawne_zmiany_w_ciągu_roku_obrotowego" ref="A38:B64" totalsRowShown="0" tableBorderDxfId="180">
  <autoFilter ref="A38:B64">
    <filterColumn colId="0" hiddenButton="1"/>
    <filterColumn colId="1" hiddenButton="1"/>
  </autoFilter>
  <tableColumns count="2">
    <tableColumn id="1" name="WARTOŚCI NIEMATERIALNE I PRAWNE"/>
    <tableColumn id="3" name="Wartości niematerialne i prawne 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ci niematerialne i prawne - zmiany w ciągu roku obrotowego" altTextSummary="W pierwszej kolumnie tabeli przedstawione są pola dla sald oraz operacji gospodarczych wykonanych na wartościach niematerialnych i prawnych. W drugiej kolumnie przedstawiono wartości właściwe dla zdarzeń z pierwszej kolumny."/>
    </ext>
  </extLst>
</table>
</file>

<file path=xl/tables/table20.xml><?xml version="1.0" encoding="utf-8"?>
<table xmlns="http://schemas.openxmlformats.org/spreadsheetml/2006/main" id="23" name="Inwestycje_finansowe_długoterminowe_i_krótkoterminowe_zmiany_w_ciągu_roku_obrotowego" displayName="Inwestycje_finansowe_długoterminowe_i_krótkoterminowe_zmiany_w_ciągu_roku_obrotowego" ref="A381:I399" totalsRowShown="0" headerRowDxfId="100" tableBorderDxfId="99" headerRowCellStyle="Normalny 2">
  <autoFilter ref="A381:I3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ktywa finansowe" dataDxfId="98" totalsRowDxfId="97" dataCellStyle="Normalny 2"/>
    <tableColumn id="2" name="Długoterminowe aktywa finansowe " dataDxfId="96" totalsRowDxfId="95" dataCellStyle="Normalny 2"/>
    <tableColumn id="3" name="Długoterminowe aktywa finansowe 2" dataDxfId="94" totalsRowDxfId="93" dataCellStyle="Normalny 2"/>
    <tableColumn id="4" name="Długoterminowe aktywa finansowe 3" dataDxfId="92" totalsRowDxfId="91" dataCellStyle="Normalny 2"/>
    <tableColumn id="5" name="Nieruchomości inwestycyjne" dataDxfId="90" totalsRowDxfId="89" dataCellStyle="Normalny 2"/>
    <tableColumn id="6" name="Krótkoterminowe aktywa finansowe " dataDxfId="88" totalsRowDxfId="87" dataCellStyle="Normalny 2"/>
    <tableColumn id="7" name="Krótkoterminowe aktywa finansowe 2" dataDxfId="86" totalsRowDxfId="85" dataCellStyle="Normalny 2"/>
    <tableColumn id="8" name="Krótkoterminowe aktywa finansowe 3" dataDxfId="84" totalsRowDxfId="83" dataCellStyle="Normalny 2"/>
    <tableColumn id="9" name="Razem" dataDxfId="82" totalsRowDxfId="81" dataCellStyle="Normalny 2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 altTextSummary="Przekreślona pusta tabela"/>
    </ext>
  </extLst>
</table>
</file>

<file path=xl/tables/table21.xml><?xml version="1.0" encoding="utf-8"?>
<table xmlns="http://schemas.openxmlformats.org/spreadsheetml/2006/main" id="24" name="Należności_krótkoterminowe_netto" displayName="Należności_krótkoterminowe_netto" ref="A403:C416" totalsRowShown="0" tableBorderDxfId="80">
  <autoFilter ref="A403:C416">
    <filterColumn colId="0" hiddenButton="1"/>
    <filterColumn colId="1" hiddenButton="1"/>
    <filterColumn colId="2" hiddenButton="1"/>
  </autoFilter>
  <tableColumns count="3">
    <tableColumn id="1" name="Kategoria" dataDxfId="79" dataCellStyle="Normalny 2"/>
    <tableColumn id="3" name="Stan na początek roku" dataDxfId="78" dataCellStyle="Normalny 2"/>
    <tableColumn id="4" name="Stan na koniec roku " dataDxfId="7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Należności krótkoterminowe netto" altTextSummary="Tabela przedstawia należności krótkoterminowe netto w podziale na ich rodzaje, stan początkowy i stan końcowy."/>
    </ext>
  </extLst>
</table>
</file>

<file path=xl/tables/table22.xml><?xml version="1.0" encoding="utf-8"?>
<table xmlns="http://schemas.openxmlformats.org/spreadsheetml/2006/main" id="26" name="Odpisy_aktualizujące_wartość_zapasów" displayName="Odpisy_aktualizujące_wartość_zapasów" ref="A419:B421" totalsRowShown="0" headerRowDxfId="76" headerRowBorderDxfId="75" tableBorderDxfId="74" totalsRowBorderDxfId="73" headerRowCellStyle="Normalny 2">
  <autoFilter ref="A419:B421">
    <filterColumn colId="0" hiddenButton="1"/>
    <filterColumn colId="1" hiddenButton="1"/>
  </autoFilter>
  <tableColumns count="2">
    <tableColumn id="1" name="Odpisy aktualizujące wartość zapasów na dzień bilansowy wynoszą:"/>
    <tableColumn id="3" name="Odpisy aktualizujące wartość zapasów na dzień bilansowy wynoszą: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zapasów" altTextSummary="Przekreślona pusta tabela"/>
    </ext>
  </extLst>
</table>
</file>

<file path=xl/tables/table23.xml><?xml version="1.0" encoding="utf-8"?>
<table xmlns="http://schemas.openxmlformats.org/spreadsheetml/2006/main" id="27" name="Koszt_wytworzenia_środków_trwalych_w_budowie_poniesiony_w_okresie" displayName="Koszt_wytworzenia_środków_trwalych_w_budowie_poniesiony_w_okresie" ref="A427:C432" totalsRowShown="0" headerRowBorderDxfId="72" tableBorderDxfId="71">
  <autoFilter ref="A427:C432">
    <filterColumn colId="0" hiddenButton="1"/>
    <filterColumn colId="1" hiddenButton="1"/>
    <filterColumn colId="2" hiddenButton="1"/>
  </autoFilter>
  <tableColumns count="3">
    <tableColumn id="1" name="Treść" dataDxfId="70" dataCellStyle="Normalny 2"/>
    <tableColumn id="3" name="Rok poprzedni" dataDxfId="69" dataCellStyle="Normalny 2"/>
    <tableColumn id="4" name="Rok bieżący" dataDxfId="6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 wytworzenia kosztów trwałych w budowie poniesiony w okresie" altTextSummary="Przekreślona pusta tabela"/>
    </ext>
  </extLst>
</table>
</file>

<file path=xl/tables/table24.xml><?xml version="1.0" encoding="utf-8"?>
<table xmlns="http://schemas.openxmlformats.org/spreadsheetml/2006/main" id="28" name="Przychody_lub_koszty_nadzwyczajne_lub_które_wystąpiły_incydentalnie" displayName="Przychody_lub_koszty_nadzwyczajne_lub_które_wystąpiły_incydentalnie" ref="A439:C461" totalsRowShown="0" dataDxfId="67" tableBorderDxfId="66">
  <autoFilter ref="A439:C461">
    <filterColumn colId="0" hiddenButton="1"/>
    <filterColumn colId="1" hiddenButton="1"/>
    <filterColumn colId="2" hiddenButton="1"/>
  </autoFilter>
  <tableColumns count="3">
    <tableColumn id="1" name="Kolumna1" dataDxfId="65"/>
    <tableColumn id="2" name="Obroty roku poprzedniego" dataDxfId="64" dataCellStyle="Normalny 2"/>
    <tableColumn id="3" name="Obroty roku bieżącego" dataDxfId="6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lub koszty o nadzwyczajnej wartości lub które wystąpiły incydentalnie" altTextSummary="Wykazane koszty związane z trwającą pandemią COVID-19_x000d__x000a_"/>
    </ext>
  </extLst>
</table>
</file>

<file path=xl/tables/table25.xml><?xml version="1.0" encoding="utf-8"?>
<table xmlns="http://schemas.openxmlformats.org/spreadsheetml/2006/main" id="29" name="Informacja_o_zdarzeniach_po_dniu_bilansowym" displayName="Informacja_o_zdarzeniach_po_dniu_bilansowym" ref="A649:E657" totalsRowShown="0" headerRowDxfId="62" headerRowBorderDxfId="61" tableBorderDxfId="60" headerRowCellStyle="Normalny 2">
  <autoFilter ref="A649:E65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.p." dataDxfId="59" dataCellStyle="Normalny 2"/>
    <tableColumn id="2" name="Opis zdarzenia" dataDxfId="58" dataCellStyle="Normalny 2"/>
    <tableColumn id="3" name="Kwota" dataDxfId="57" dataCellStyle="Normalny 2"/>
    <tableColumn id="4" name="Przyczyna nieuwzględnienia w sprawozdaniu finansowym " dataDxfId="56" dataCellStyle="Normalny 2"/>
    <tableColumn id="5" name="Wpływ na sprawozdanie finansowe" dataDxfId="5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usta tabela" altTextSummary="Pusta tabela"/>
    </ext>
  </extLst>
</table>
</file>

<file path=xl/tables/table26.xml><?xml version="1.0" encoding="utf-8"?>
<table xmlns="http://schemas.openxmlformats.org/spreadsheetml/2006/main" id="30" name="Informacja_o_znaczących_zdarzeniach_dotyczących_lat_ubiegłych" displayName="Informacja_o_znaczących_zdarzeniach_dotyczących_lat_ubiegłych" ref="A637:E645" totalsRowShown="0" headerRowDxfId="54" headerRowBorderDxfId="53" tableBorderDxfId="52" headerRowCellStyle="Normalny 2">
  <autoFilter ref="A637:E64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.p." dataDxfId="51" dataCellStyle="Normalny 2"/>
    <tableColumn id="2" name="Opis zdarzenia" dataDxfId="50" dataCellStyle="Normalny 2"/>
    <tableColumn id="3" name="Kwota" dataDxfId="49" dataCellStyle="Normalny 2"/>
    <tableColumn id="4" name="Przyczyna ujęcia w sprawozdaniu finansowym roku obrotowego" dataDxfId="48" dataCellStyle="Normalny 2"/>
    <tableColumn id="5" name="Wpływ na sprawozdanie finansowe" dataDxfId="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e o znaczących zdarzeniach dotyczących lat ubiegłych ujetych w sprawozdaniu finansowycm roku obrotowego" altTextSummary="Pusta tabela"/>
    </ext>
  </extLst>
</table>
</file>

<file path=xl/tables/table27.xml><?xml version="1.0" encoding="utf-8"?>
<table xmlns="http://schemas.openxmlformats.org/spreadsheetml/2006/main" id="31" name="Informacja_o_stanie_zatrudnienia" displayName="Informacja_o_stanie_zatrudnienia" ref="A632:C633" totalsRowShown="0" headerRowBorderDxfId="46" tableBorderDxfId="45">
  <autoFilter ref="A632:C633">
    <filterColumn colId="0" hiddenButton="1"/>
    <filterColumn colId="1" hiddenButton="1"/>
    <filterColumn colId="2" hiddenButton="1"/>
  </autoFilter>
  <tableColumns count="3">
    <tableColumn id="1" name="Wyszczególnienie" dataDxfId="44" dataCellStyle="Normalny 2"/>
    <tableColumn id="3" name="Stan zatrudnienia na koniec_x000a_ roku poprzedniego (osoby)" dataDxfId="43" dataCellStyle="Normalny 2"/>
    <tableColumn id="4" name="Stan zatrudnienia na koniec _x000a_roku obrotowego (osoby)" dataDxfId="42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stanie zatrudnienia" altTextSummary="Informacja o stanie zatrudniania na początek i koniec roku."/>
    </ext>
  </extLst>
</table>
</file>

<file path=xl/tables/table28.xml><?xml version="1.0" encoding="utf-8"?>
<table xmlns="http://schemas.openxmlformats.org/spreadsheetml/2006/main" id="32" name="Istotne_transakcje_z_podmiotami_powiązanymi" displayName="Istotne_transakcje_z_podmiotami_powiązanymi" ref="A617:E625" totalsRowShown="0" headerRowDxfId="41" tableBorderDxfId="40" headerRowCellStyle="Normalny 2">
  <autoFilter ref="A617:E62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Nazwa jednostki"/>
    <tableColumn id="3" name="Stan na koniec roku obrotowego" dataDxfId="39" dataCellStyle="Normalny 2"/>
    <tableColumn id="4" name="Stan na koniec roku obrotowego2" dataDxfId="38" dataCellStyle="Normalny 2"/>
    <tableColumn id="5" name="Stan na koniec roku obrotowego3" dataDxfId="37" dataCellStyle="Normalny 2"/>
    <tableColumn id="6" name="Stan na koniec roku obrotowego4" dataDxfId="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stotne transakcje z podmiotami powiązanymi" altTextSummary="Wskazanie jednostek powiązanych, z którymi wystąpiły istotne transakcje"/>
    </ext>
  </extLst>
</table>
</file>

<file path=xl/tables/table29.xml><?xml version="1.0" encoding="utf-8"?>
<table xmlns="http://schemas.openxmlformats.org/spreadsheetml/2006/main" id="33" name="Koszty_finansowe" displayName="Koszty_finansowe" ref="A598:C609" totalsRowShown="0" headerRowDxfId="35" tableBorderDxfId="34" headerRowCellStyle="Normalny 2">
  <autoFilter ref="A598:C609">
    <filterColumn colId="0" hiddenButton="1"/>
    <filterColumn colId="1" hiddenButton="1"/>
    <filterColumn colId="2" hiddenButton="1"/>
  </autoFilter>
  <tableColumns count="3">
    <tableColumn id="1" name="Kolumna1" dataDxfId="33" dataCellStyle="Normalny 2"/>
    <tableColumn id="5" name="Obroty roku poprzedniego" dataDxfId="32" dataCellStyle="Normalny 2"/>
    <tableColumn id="6" name="Obroty roku bieżącego" dataDxfId="3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y finansowe" altTextSummary="Koszty finansowe - podział"/>
    </ext>
  </extLst>
</table>
</file>

<file path=xl/tables/table3.xml><?xml version="1.0" encoding="utf-8"?>
<table xmlns="http://schemas.openxmlformats.org/spreadsheetml/2006/main" id="3" name="Informacja_o_zasobach_dóbr_kultury_zabytkach" displayName="Informacja_o_zasobach_dóbr_kultury_zabytkach" ref="A72:E90" totalsRowShown="0" headerRowDxfId="179" headerRowBorderDxfId="178" tableBorderDxfId="177" headerRowCellStyle="Normalny 2 2">
  <autoFilter ref="A72:E9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yszczególnienie"/>
    <tableColumn id="2" name="Zabytki ruchome (w szczególności: dzieła sztuk plastycznych, rzemiosła artystycznego, numizmaty, pamiątki historyczne, materiały biblioteczne, instrumenty muzyczne, wytwory sztuki ludowej)"/>
    <tableColumn id="3" name="Zabytki nieruchome (w szczególności: dzieła architektury i budownictwa, pomniki, tablice pamiątkowe, cmentarze, parki i ogrody, obiekty techniki)"/>
    <tableColumn id="4" name="Zabytki archeologiczne (w szczególności: pozostałości terenowe pradziejowego i historycznego osadnictwa, kurhany, relikty działalności gospodarczej, religijnej i artystycznej)"/>
    <tableColumn id="5" name="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zasobach dóbr kultury (zabytkach) " altTextSummary="Przekreślona pusta tabela"/>
    </ext>
  </extLst>
</table>
</file>

<file path=xl/tables/table30.xml><?xml version="1.0" encoding="utf-8"?>
<table xmlns="http://schemas.openxmlformats.org/spreadsheetml/2006/main" id="34" name="Przychody_finansowe" displayName="Przychody_finansowe" ref="A581:C594" totalsRowShown="0" headerRowDxfId="30" dataDxfId="29" tableBorderDxfId="28" headerRowCellStyle="Normalny 2">
  <autoFilter ref="A581:C594">
    <filterColumn colId="0" hiddenButton="1"/>
    <filterColumn colId="1" hiddenButton="1"/>
    <filterColumn colId="2" hiddenButton="1"/>
  </autoFilter>
  <tableColumns count="3">
    <tableColumn id="1" name="Kolumna1" dataDxfId="27" dataCellStyle="Normalny 2"/>
    <tableColumn id="5" name="Obroty roku poprzedniego" dataDxfId="26" dataCellStyle="Normalny 2"/>
    <tableColumn id="6" name="Obroty roku bieżącego" dataDxfId="2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finansowe" altTextSummary="Przychody finansowe - podział"/>
    </ext>
  </extLst>
</table>
</file>

<file path=xl/tables/table31.xml><?xml version="1.0" encoding="utf-8"?>
<table xmlns="http://schemas.openxmlformats.org/spreadsheetml/2006/main" id="35" name="Pozostałe_koszty_operacyjne" displayName="Pozostałe_koszty_operacyjne" ref="A563:C577" totalsRowShown="0" headerRowDxfId="24" dataDxfId="23" tableBorderDxfId="22" headerRowCellStyle="Normalny 2">
  <autoFilter ref="A563:C577">
    <filterColumn colId="0" hiddenButton="1"/>
    <filterColumn colId="1" hiddenButton="1"/>
    <filterColumn colId="2" hiddenButton="1"/>
  </autoFilter>
  <tableColumns count="3">
    <tableColumn id="1" name="Pozostałe koszty operacyjne" dataDxfId="21"/>
    <tableColumn id="5" name="Obroty roku poprzedniego" dataDxfId="20" dataCellStyle="Normalny 2"/>
    <tableColumn id="6" name="Obroty roku bieżącego" dataDxfId="1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koszty operacyjne" altTextSummary="Pozostałe koszty operacyjne - podział"/>
    </ext>
  </extLst>
</table>
</file>

<file path=xl/tables/table32.xml><?xml version="1.0" encoding="utf-8"?>
<table xmlns="http://schemas.openxmlformats.org/spreadsheetml/2006/main" id="36" name="Pozostałe_przychody_operacyjne" displayName="Pozostałe_przychody_operacyjne" ref="A543:C560" totalsRowShown="0" headerRowDxfId="18" dataDxfId="17" tableBorderDxfId="16" headerRowCellStyle="Normalny 2">
  <autoFilter ref="A543:C560">
    <filterColumn colId="0" hiddenButton="1"/>
    <filterColumn colId="1" hiddenButton="1"/>
    <filterColumn colId="2" hiddenButton="1"/>
  </autoFilter>
  <tableColumns count="3">
    <tableColumn id="1" name="Pozostałe przychody operacyjne" dataDxfId="15" dataCellStyle="Normalny 2"/>
    <tableColumn id="5" name="Obroty roku poprzedniego" dataDxfId="14" dataCellStyle="Normalny 2"/>
    <tableColumn id="6" name="Obroty roku bieżącego" dataDxfId="1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przychody operacyjne" altTextSummary="Pozostałe przychody operacyjne - podział"/>
    </ext>
  </extLst>
</table>
</file>

<file path=xl/tables/table33.xml><?xml version="1.0" encoding="utf-8"?>
<table xmlns="http://schemas.openxmlformats.org/spreadsheetml/2006/main" id="13" name="Struktura_kosztów_usług_obcych" displayName="Struktura_kosztów_usług_obcych" ref="A527:C538" totalsRowShown="0" headerRowDxfId="12" dataDxfId="10" headerRowBorderDxfId="11" tableBorderDxfId="9">
  <autoFilter ref="A527:C538">
    <filterColumn colId="0" hiddenButton="1"/>
    <filterColumn colId="1" hiddenButton="1"/>
    <filterColumn colId="2" hiddenButton="1"/>
  </autoFilter>
  <tableColumns count="3">
    <tableColumn id="1" name="Usługi obce" dataDxfId="8"/>
    <tableColumn id="3" name="Obroty roku poprzedniego" dataDxfId="7" dataCellStyle="Normalny 2"/>
    <tableColumn id="4" name="Obroty roku bieżącego" dataDxfId="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kosztów usług obcych" altTextSummary="Struktura kosztów usług obcych zgodnie z paragrafami wydatków"/>
    </ext>
  </extLst>
</table>
</file>

<file path=xl/tables/table34.xml><?xml version="1.0" encoding="utf-8"?>
<table xmlns="http://schemas.openxmlformats.org/spreadsheetml/2006/main" id="19" name="Struktura_przychodów" displayName="Struktura_przychodów" ref="A480:C524" totalsRowShown="0" headerRowDxfId="5" tableBorderDxfId="4" headerRowCellStyle="Normalny 2">
  <autoFilter ref="A480:C524">
    <filterColumn colId="0" hiddenButton="1"/>
    <filterColumn colId="1" hiddenButton="1"/>
    <filterColumn colId="2" hiddenButton="1"/>
  </autoFilter>
  <tableColumns count="3">
    <tableColumn id="1" name="Struktura przychodów (RZiS)" dataDxfId="3" dataCellStyle="Normalny 2"/>
    <tableColumn id="5" name="Obroty roku poprzedniego" dataDxfId="2" dataCellStyle="Normalny 2"/>
    <tableColumn id="6" name="Obroty roku bieżącego" dataDxfId="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przychodów" altTextSummary="Struktura przychodów zgodnie z rachunkiem zysków i strat"/>
    </ext>
  </extLst>
</table>
</file>

<file path=xl/tables/table35.xml><?xml version="1.0" encoding="utf-8"?>
<table xmlns="http://schemas.openxmlformats.org/spreadsheetml/2006/main" id="25" name="Informacja_o_kwocie_należności_z_tytułu_podatków_realizowanych_przez_organy_podatkowe_podległe_ministrowi_właściwemu_do_spraw_finansów_publicznych" displayName="Informacja_o_kwocie_należności_z_tytułu_podatków_realizowanych_przez_organy_podatkowe_podległe_ministrowi_właściwemu_do_spraw_finansów_publicznych" ref="A465:C467" totalsRowShown="0" tableBorderDxfId="0">
  <autoFilter ref="A465:C467">
    <filterColumn colId="0" hiddenButton="1"/>
    <filterColumn colId="1" hiddenButton="1"/>
    <filterColumn colId="2" hiddenButton="1"/>
  </autoFilter>
  <tableColumns count="3">
    <tableColumn id="1" name="Kwota należności z tytułu podatków realizowanych przez organy podatkowe podległe ministrowi własciwemu do spraw finansów publicznych wykazywanych w sprawozdaniu z wykonania planu dochodów budżetowych"/>
    <tableColumn id="3" name="Kwota należności z tytułu podatków realizowanych przez organy podatkowe podległe ministrowi własciwemu do spraw finansów publicznych wykazywanych w sprawozdaniu z wykonania planu dochodów budżetowych2"/>
    <tableColumn id="5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 budżetowych" altTextSummary="Przekreślona pusta tabela"/>
    </ext>
  </extLst>
</table>
</file>

<file path=xl/tables/table4.xml><?xml version="1.0" encoding="utf-8"?>
<table xmlns="http://schemas.openxmlformats.org/spreadsheetml/2006/main" id="4" name="Aktualna_wartość_rynkowa_środków_trwałych" displayName="Aktualna_wartość_rynkowa_środków_trwałych" ref="A96:D99" totalsRowShown="0" headerRowDxfId="176" headerRowBorderDxfId="175" tableBorderDxfId="174" headerRowCellStyle="Normalny 2">
  <autoFilter ref="A96:D99">
    <filterColumn colId="0" hiddenButton="1"/>
    <filterColumn colId="1" hiddenButton="1"/>
    <filterColumn colId="2" hiddenButton="1"/>
    <filterColumn colId="3" hiddenButton="1"/>
  </autoFilter>
  <tableColumns count="4">
    <tableColumn id="1" name="Treść"/>
    <tableColumn id="2" name="Stan na początek roku"/>
    <tableColumn id="3" name="Stan na koniec roku"/>
    <tableColumn id="4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 " altTextSummary="Przekreślona pusta tabela"/>
    </ext>
  </extLst>
</table>
</file>

<file path=xl/tables/table5.xml><?xml version="1.0" encoding="utf-8"?>
<table xmlns="http://schemas.openxmlformats.org/spreadsheetml/2006/main" id="5" name="Odpisy_aktualizujące_wartość_długoterminowych_aktywów" displayName="Odpisy_aktualizujące_wartość_długoterminowych_aktywów" ref="A104:I109" totalsRowShown="0" headerRowDxfId="173" tableBorderDxfId="172" headerRowCellStyle="Normalny 2">
  <autoFilter ref="A104:I10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olumna1"/>
    <tableColumn id="2" name="Długoterminowe aktywa niefinansowe"/>
    <tableColumn id="3" name="Długoterminowe aktywa niefinansowe2"/>
    <tableColumn id="4" name="Długoterminowe aktywa niefinansowe3"/>
    <tableColumn id="5" name="Długoterminowe aktywa niefinansowe4" dataDxfId="171" dataCellStyle="Normalny 2"/>
    <tableColumn id="6" name="Długoterminowe aktywa niefinansowe5" dataDxfId="170" dataCellStyle="Normalny 2"/>
    <tableColumn id="7" name="Długoterminowe aktywa finansowe" dataDxfId="169" dataCellStyle="Normalny 2"/>
    <tableColumn id="8" name="Długoterminowe aktywa finansowe2"/>
    <tableColumn id="9" name="Długoterminowe aktywa finansowe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długoterminowych aktywów" altTextSummary="Tabela przedstawia dane dotyczące odpisów aktualizujących aktywa w podziale na rodzaje aktywów oraz stany początkowe, zmiany w roku obotowym oraz stany końcowe."/>
    </ext>
  </extLst>
</table>
</file>

<file path=xl/tables/table6.xml><?xml version="1.0" encoding="utf-8"?>
<table xmlns="http://schemas.openxmlformats.org/spreadsheetml/2006/main" id="6" name="Grunty_użytkowane_wieczyście" displayName="Grunty_użytkowane_wieczyście" ref="A114:C115" totalsRowShown="0" tableBorderDxfId="168">
  <autoFilter ref="A114:C115">
    <filterColumn colId="0" hiddenButton="1"/>
    <filterColumn colId="1" hiddenButton="1"/>
    <filterColumn colId="2" hiddenButton="1"/>
  </autoFilter>
  <tableColumns count="3">
    <tableColumn id="1" name="Treść" dataDxfId="167" dataCellStyle="Normalny 2"/>
    <tableColumn id="2" name="Stan na początek roku" dataDxfId="166" dataCellStyle="Normalny 2"/>
    <tableColumn id="3" name="Stan na koniec roku" dataDxfId="16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Grunty użytkowane wieczyście" altTextSummary="Tabela określa wartość gruntów użytkowanych wieczyści."/>
    </ext>
  </extLst>
</table>
</file>

<file path=xl/tables/table7.xml><?xml version="1.0" encoding="utf-8"?>
<table xmlns="http://schemas.openxmlformats.org/spreadsheetml/2006/main" id="7" name="Wartość_nieamortyzowanych_środków_trwałych_używanych_na_podstawie_umów_najmu_dzierżawy_i_innych_umów_w_tym_umów_leasingu" displayName="Wartość_nieamortyzowanych_środków_trwałych_używanych_na_podstawie_umów_najmu_dzierżawy_i_innych_umów_w_tym_umów_leasingu" ref="A119:C126" totalsRowShown="0" headerRowBorderDxfId="164" tableBorderDxfId="163">
  <autoFilter ref="A119:C126">
    <filterColumn colId="0" hiddenButton="1"/>
    <filterColumn colId="1" hiddenButton="1"/>
    <filterColumn colId="2" hiddenButton="1"/>
  </autoFilter>
  <tableColumns count="3">
    <tableColumn id="1" name="Wyszczególnienie" dataDxfId="162" dataCellStyle="Normalny 2"/>
    <tableColumn id="3" name="Stan na początek roku" dataDxfId="161" dataCellStyle="Normalny 2"/>
    <tableColumn id="4" name="Stan na koniec roku" dataDxfId="16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 altTextSummary="W tabeli wykazano środki trwałe dzierżawione przez jednostkę, które nie są przez nią umarzane i amortyzowane"/>
    </ext>
  </extLst>
</table>
</file>

<file path=xl/tables/table8.xml><?xml version="1.0" encoding="utf-8"?>
<table xmlns="http://schemas.openxmlformats.org/spreadsheetml/2006/main" id="8" name="Liczba_i_wartość_posiadanych_akcji_i_udziałów" displayName="Liczba_i_wartość_posiadanych_akcji_i_udziałów" ref="A146:I159" totalsRowShown="0" headerRowDxfId="159" dataDxfId="157" headerRowBorderDxfId="158" tableBorderDxfId="156" headerRowCellStyle="Normalny 2" dataCellStyle="Normalny 2">
  <autoFilter ref="A146:I1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azwa podmiotów" dataDxfId="155" dataCellStyle="Normalny 2"/>
    <tableColumn id="2" name="Nazwa podmiotów2" dataDxfId="154" dataCellStyle="Normalny 2"/>
    <tableColumn id="3" name="Liczba udziałów / akcji" dataDxfId="153" dataCellStyle="Normalny 2"/>
    <tableColumn id="4" name="Udział w kapitale własnym (%)" dataDxfId="152" dataCellStyle="Normalny 2"/>
    <tableColumn id="5" name="Wartość brutto udziałów/ akcji" dataDxfId="151" dataCellStyle="Normalny 2"/>
    <tableColumn id="6" name="Odpis" dataDxfId="150" dataCellStyle="Normalny 2"/>
    <tableColumn id="7" name="Wartość bilansowa udziałów/akcji" dataDxfId="149" dataCellStyle="Normalny 2"/>
    <tableColumn id="8" name="Zysk/(strata) netto za rok zakończony dnia 31 grudnia bieżącego roku" dataDxfId="148" dataCellStyle="Normalny 2"/>
    <tableColumn id="9" name="Kapitały własne na dzień 31 grudnia bieżącego roku" dataDxfId="1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 Liczba i wartość posiadanych akcji i udziałów" altTextSummary="Przekreślona pusta tabela"/>
    </ext>
  </extLst>
</table>
</file>

<file path=xl/tables/table9.xml><?xml version="1.0" encoding="utf-8"?>
<table xmlns="http://schemas.openxmlformats.org/spreadsheetml/2006/main" id="9" name="Odpisy_aktualizujące_należności" displayName="Odpisy_aktualizujące_należności" ref="A163:G171" totalsRowShown="0" dataDxfId="146" tableBorderDxfId="145" dataCellStyle="Normalny 2">
  <autoFilter ref="A163:G17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olumna1"/>
    <tableColumn id="2" name="Kolumna2"/>
    <tableColumn id="5" name="Kolumna3"/>
    <tableColumn id="6" name="Kolumna4" dataDxfId="144" dataCellStyle="Normalny 2"/>
    <tableColumn id="7" name="Kolumna5" dataDxfId="143" dataCellStyle="Normalny 2"/>
    <tableColumn id="8" name="Kolumna6" dataDxfId="142" dataCellStyle="Normalny 2"/>
    <tableColumn id="9" name="Kolumna7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siy aktualizujące wartość należności" altTextSummary="Tabela przedstawia odpisy aktualizujące należności z  wyszczegolnieniem odpisów z tytułu należności długoterminowych, krótkoterminowych, alimentacyjnych. Stan na początek roku, zmiany i stan na koniec roku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7"/>
  <sheetViews>
    <sheetView tabSelected="1" showWhiteSpace="0" view="pageLayout" zoomScaleNormal="100" workbookViewId="0">
      <selection activeCell="C2" sqref="C2"/>
    </sheetView>
  </sheetViews>
  <sheetFormatPr defaultRowHeight="13.8" x14ac:dyDescent="0.3"/>
  <cols>
    <col min="1" max="1" width="51.109375" style="7" customWidth="1"/>
    <col min="2" max="2" width="17.109375" style="7" customWidth="1"/>
    <col min="3" max="9" width="15.88671875" style="7" customWidth="1"/>
    <col min="10" max="10" width="13.6640625" style="7" customWidth="1"/>
    <col min="11" max="11" width="18.33203125" style="7" customWidth="1"/>
    <col min="12" max="13" width="12.33203125" style="7" bestFit="1" customWidth="1"/>
    <col min="14" max="14" width="11.33203125" style="7" bestFit="1" customWidth="1"/>
    <col min="15" max="256" width="9.109375" style="7"/>
    <col min="257" max="257" width="22.88671875" style="7" customWidth="1"/>
    <col min="258" max="258" width="19.109375" style="7" customWidth="1"/>
    <col min="259" max="259" width="20" style="7" customWidth="1"/>
    <col min="260" max="260" width="18" style="7" customWidth="1"/>
    <col min="261" max="261" width="19.6640625" style="7" customWidth="1"/>
    <col min="262" max="262" width="16.109375" style="7" customWidth="1"/>
    <col min="263" max="263" width="16.44140625" style="7" customWidth="1"/>
    <col min="264" max="264" width="13.6640625" style="7" customWidth="1"/>
    <col min="265" max="265" width="13.109375" style="7" customWidth="1"/>
    <col min="266" max="266" width="13.6640625" style="7" customWidth="1"/>
    <col min="267" max="267" width="18.33203125" style="7" customWidth="1"/>
    <col min="268" max="512" width="9.109375" style="7"/>
    <col min="513" max="513" width="22.88671875" style="7" customWidth="1"/>
    <col min="514" max="514" width="19.109375" style="7" customWidth="1"/>
    <col min="515" max="515" width="20" style="7" customWidth="1"/>
    <col min="516" max="516" width="18" style="7" customWidth="1"/>
    <col min="517" max="517" width="19.6640625" style="7" customWidth="1"/>
    <col min="518" max="518" width="16.109375" style="7" customWidth="1"/>
    <col min="519" max="519" width="16.44140625" style="7" customWidth="1"/>
    <col min="520" max="520" width="13.6640625" style="7" customWidth="1"/>
    <col min="521" max="521" width="13.109375" style="7" customWidth="1"/>
    <col min="522" max="522" width="13.6640625" style="7" customWidth="1"/>
    <col min="523" max="523" width="18.33203125" style="7" customWidth="1"/>
    <col min="524" max="768" width="9.109375" style="7"/>
    <col min="769" max="769" width="22.88671875" style="7" customWidth="1"/>
    <col min="770" max="770" width="19.109375" style="7" customWidth="1"/>
    <col min="771" max="771" width="20" style="7" customWidth="1"/>
    <col min="772" max="772" width="18" style="7" customWidth="1"/>
    <col min="773" max="773" width="19.6640625" style="7" customWidth="1"/>
    <col min="774" max="774" width="16.109375" style="7" customWidth="1"/>
    <col min="775" max="775" width="16.44140625" style="7" customWidth="1"/>
    <col min="776" max="776" width="13.6640625" style="7" customWidth="1"/>
    <col min="777" max="777" width="13.109375" style="7" customWidth="1"/>
    <col min="778" max="778" width="13.6640625" style="7" customWidth="1"/>
    <col min="779" max="779" width="18.33203125" style="7" customWidth="1"/>
    <col min="780" max="1024" width="9.109375" style="7"/>
    <col min="1025" max="1025" width="22.88671875" style="7" customWidth="1"/>
    <col min="1026" max="1026" width="19.109375" style="7" customWidth="1"/>
    <col min="1027" max="1027" width="20" style="7" customWidth="1"/>
    <col min="1028" max="1028" width="18" style="7" customWidth="1"/>
    <col min="1029" max="1029" width="19.6640625" style="7" customWidth="1"/>
    <col min="1030" max="1030" width="16.109375" style="7" customWidth="1"/>
    <col min="1031" max="1031" width="16.44140625" style="7" customWidth="1"/>
    <col min="1032" max="1032" width="13.6640625" style="7" customWidth="1"/>
    <col min="1033" max="1033" width="13.109375" style="7" customWidth="1"/>
    <col min="1034" max="1034" width="13.6640625" style="7" customWidth="1"/>
    <col min="1035" max="1035" width="18.33203125" style="7" customWidth="1"/>
    <col min="1036" max="1280" width="9.109375" style="7"/>
    <col min="1281" max="1281" width="22.88671875" style="7" customWidth="1"/>
    <col min="1282" max="1282" width="19.109375" style="7" customWidth="1"/>
    <col min="1283" max="1283" width="20" style="7" customWidth="1"/>
    <col min="1284" max="1284" width="18" style="7" customWidth="1"/>
    <col min="1285" max="1285" width="19.6640625" style="7" customWidth="1"/>
    <col min="1286" max="1286" width="16.109375" style="7" customWidth="1"/>
    <col min="1287" max="1287" width="16.44140625" style="7" customWidth="1"/>
    <col min="1288" max="1288" width="13.6640625" style="7" customWidth="1"/>
    <col min="1289" max="1289" width="13.109375" style="7" customWidth="1"/>
    <col min="1290" max="1290" width="13.6640625" style="7" customWidth="1"/>
    <col min="1291" max="1291" width="18.33203125" style="7" customWidth="1"/>
    <col min="1292" max="1536" width="9.109375" style="7"/>
    <col min="1537" max="1537" width="22.88671875" style="7" customWidth="1"/>
    <col min="1538" max="1538" width="19.109375" style="7" customWidth="1"/>
    <col min="1539" max="1539" width="20" style="7" customWidth="1"/>
    <col min="1540" max="1540" width="18" style="7" customWidth="1"/>
    <col min="1541" max="1541" width="19.6640625" style="7" customWidth="1"/>
    <col min="1542" max="1542" width="16.109375" style="7" customWidth="1"/>
    <col min="1543" max="1543" width="16.44140625" style="7" customWidth="1"/>
    <col min="1544" max="1544" width="13.6640625" style="7" customWidth="1"/>
    <col min="1545" max="1545" width="13.109375" style="7" customWidth="1"/>
    <col min="1546" max="1546" width="13.6640625" style="7" customWidth="1"/>
    <col min="1547" max="1547" width="18.33203125" style="7" customWidth="1"/>
    <col min="1548" max="1792" width="9.109375" style="7"/>
    <col min="1793" max="1793" width="22.88671875" style="7" customWidth="1"/>
    <col min="1794" max="1794" width="19.109375" style="7" customWidth="1"/>
    <col min="1795" max="1795" width="20" style="7" customWidth="1"/>
    <col min="1796" max="1796" width="18" style="7" customWidth="1"/>
    <col min="1797" max="1797" width="19.6640625" style="7" customWidth="1"/>
    <col min="1798" max="1798" width="16.109375" style="7" customWidth="1"/>
    <col min="1799" max="1799" width="16.44140625" style="7" customWidth="1"/>
    <col min="1800" max="1800" width="13.6640625" style="7" customWidth="1"/>
    <col min="1801" max="1801" width="13.109375" style="7" customWidth="1"/>
    <col min="1802" max="1802" width="13.6640625" style="7" customWidth="1"/>
    <col min="1803" max="1803" width="18.33203125" style="7" customWidth="1"/>
    <col min="1804" max="2048" width="9.109375" style="7"/>
    <col min="2049" max="2049" width="22.88671875" style="7" customWidth="1"/>
    <col min="2050" max="2050" width="19.109375" style="7" customWidth="1"/>
    <col min="2051" max="2051" width="20" style="7" customWidth="1"/>
    <col min="2052" max="2052" width="18" style="7" customWidth="1"/>
    <col min="2053" max="2053" width="19.6640625" style="7" customWidth="1"/>
    <col min="2054" max="2054" width="16.109375" style="7" customWidth="1"/>
    <col min="2055" max="2055" width="16.44140625" style="7" customWidth="1"/>
    <col min="2056" max="2056" width="13.6640625" style="7" customWidth="1"/>
    <col min="2057" max="2057" width="13.109375" style="7" customWidth="1"/>
    <col min="2058" max="2058" width="13.6640625" style="7" customWidth="1"/>
    <col min="2059" max="2059" width="18.33203125" style="7" customWidth="1"/>
    <col min="2060" max="2304" width="9.109375" style="7"/>
    <col min="2305" max="2305" width="22.88671875" style="7" customWidth="1"/>
    <col min="2306" max="2306" width="19.109375" style="7" customWidth="1"/>
    <col min="2307" max="2307" width="20" style="7" customWidth="1"/>
    <col min="2308" max="2308" width="18" style="7" customWidth="1"/>
    <col min="2309" max="2309" width="19.6640625" style="7" customWidth="1"/>
    <col min="2310" max="2310" width="16.109375" style="7" customWidth="1"/>
    <col min="2311" max="2311" width="16.44140625" style="7" customWidth="1"/>
    <col min="2312" max="2312" width="13.6640625" style="7" customWidth="1"/>
    <col min="2313" max="2313" width="13.109375" style="7" customWidth="1"/>
    <col min="2314" max="2314" width="13.6640625" style="7" customWidth="1"/>
    <col min="2315" max="2315" width="18.33203125" style="7" customWidth="1"/>
    <col min="2316" max="2560" width="9.109375" style="7"/>
    <col min="2561" max="2561" width="22.88671875" style="7" customWidth="1"/>
    <col min="2562" max="2562" width="19.109375" style="7" customWidth="1"/>
    <col min="2563" max="2563" width="20" style="7" customWidth="1"/>
    <col min="2564" max="2564" width="18" style="7" customWidth="1"/>
    <col min="2565" max="2565" width="19.6640625" style="7" customWidth="1"/>
    <col min="2566" max="2566" width="16.109375" style="7" customWidth="1"/>
    <col min="2567" max="2567" width="16.44140625" style="7" customWidth="1"/>
    <col min="2568" max="2568" width="13.6640625" style="7" customWidth="1"/>
    <col min="2569" max="2569" width="13.109375" style="7" customWidth="1"/>
    <col min="2570" max="2570" width="13.6640625" style="7" customWidth="1"/>
    <col min="2571" max="2571" width="18.33203125" style="7" customWidth="1"/>
    <col min="2572" max="2816" width="9.109375" style="7"/>
    <col min="2817" max="2817" width="22.88671875" style="7" customWidth="1"/>
    <col min="2818" max="2818" width="19.109375" style="7" customWidth="1"/>
    <col min="2819" max="2819" width="20" style="7" customWidth="1"/>
    <col min="2820" max="2820" width="18" style="7" customWidth="1"/>
    <col min="2821" max="2821" width="19.6640625" style="7" customWidth="1"/>
    <col min="2822" max="2822" width="16.109375" style="7" customWidth="1"/>
    <col min="2823" max="2823" width="16.44140625" style="7" customWidth="1"/>
    <col min="2824" max="2824" width="13.6640625" style="7" customWidth="1"/>
    <col min="2825" max="2825" width="13.109375" style="7" customWidth="1"/>
    <col min="2826" max="2826" width="13.6640625" style="7" customWidth="1"/>
    <col min="2827" max="2827" width="18.33203125" style="7" customWidth="1"/>
    <col min="2828" max="3072" width="9.109375" style="7"/>
    <col min="3073" max="3073" width="22.88671875" style="7" customWidth="1"/>
    <col min="3074" max="3074" width="19.109375" style="7" customWidth="1"/>
    <col min="3075" max="3075" width="20" style="7" customWidth="1"/>
    <col min="3076" max="3076" width="18" style="7" customWidth="1"/>
    <col min="3077" max="3077" width="19.6640625" style="7" customWidth="1"/>
    <col min="3078" max="3078" width="16.109375" style="7" customWidth="1"/>
    <col min="3079" max="3079" width="16.44140625" style="7" customWidth="1"/>
    <col min="3080" max="3080" width="13.6640625" style="7" customWidth="1"/>
    <col min="3081" max="3081" width="13.109375" style="7" customWidth="1"/>
    <col min="3082" max="3082" width="13.6640625" style="7" customWidth="1"/>
    <col min="3083" max="3083" width="18.33203125" style="7" customWidth="1"/>
    <col min="3084" max="3328" width="9.109375" style="7"/>
    <col min="3329" max="3329" width="22.88671875" style="7" customWidth="1"/>
    <col min="3330" max="3330" width="19.109375" style="7" customWidth="1"/>
    <col min="3331" max="3331" width="20" style="7" customWidth="1"/>
    <col min="3332" max="3332" width="18" style="7" customWidth="1"/>
    <col min="3333" max="3333" width="19.6640625" style="7" customWidth="1"/>
    <col min="3334" max="3334" width="16.109375" style="7" customWidth="1"/>
    <col min="3335" max="3335" width="16.44140625" style="7" customWidth="1"/>
    <col min="3336" max="3336" width="13.6640625" style="7" customWidth="1"/>
    <col min="3337" max="3337" width="13.109375" style="7" customWidth="1"/>
    <col min="3338" max="3338" width="13.6640625" style="7" customWidth="1"/>
    <col min="3339" max="3339" width="18.33203125" style="7" customWidth="1"/>
    <col min="3340" max="3584" width="9.109375" style="7"/>
    <col min="3585" max="3585" width="22.88671875" style="7" customWidth="1"/>
    <col min="3586" max="3586" width="19.109375" style="7" customWidth="1"/>
    <col min="3587" max="3587" width="20" style="7" customWidth="1"/>
    <col min="3588" max="3588" width="18" style="7" customWidth="1"/>
    <col min="3589" max="3589" width="19.6640625" style="7" customWidth="1"/>
    <col min="3590" max="3590" width="16.109375" style="7" customWidth="1"/>
    <col min="3591" max="3591" width="16.44140625" style="7" customWidth="1"/>
    <col min="3592" max="3592" width="13.6640625" style="7" customWidth="1"/>
    <col min="3593" max="3593" width="13.109375" style="7" customWidth="1"/>
    <col min="3594" max="3594" width="13.6640625" style="7" customWidth="1"/>
    <col min="3595" max="3595" width="18.33203125" style="7" customWidth="1"/>
    <col min="3596" max="3840" width="9.109375" style="7"/>
    <col min="3841" max="3841" width="22.88671875" style="7" customWidth="1"/>
    <col min="3842" max="3842" width="19.109375" style="7" customWidth="1"/>
    <col min="3843" max="3843" width="20" style="7" customWidth="1"/>
    <col min="3844" max="3844" width="18" style="7" customWidth="1"/>
    <col min="3845" max="3845" width="19.6640625" style="7" customWidth="1"/>
    <col min="3846" max="3846" width="16.109375" style="7" customWidth="1"/>
    <col min="3847" max="3847" width="16.44140625" style="7" customWidth="1"/>
    <col min="3848" max="3848" width="13.6640625" style="7" customWidth="1"/>
    <col min="3849" max="3849" width="13.109375" style="7" customWidth="1"/>
    <col min="3850" max="3850" width="13.6640625" style="7" customWidth="1"/>
    <col min="3851" max="3851" width="18.33203125" style="7" customWidth="1"/>
    <col min="3852" max="4096" width="9.109375" style="7"/>
    <col min="4097" max="4097" width="22.88671875" style="7" customWidth="1"/>
    <col min="4098" max="4098" width="19.109375" style="7" customWidth="1"/>
    <col min="4099" max="4099" width="20" style="7" customWidth="1"/>
    <col min="4100" max="4100" width="18" style="7" customWidth="1"/>
    <col min="4101" max="4101" width="19.6640625" style="7" customWidth="1"/>
    <col min="4102" max="4102" width="16.109375" style="7" customWidth="1"/>
    <col min="4103" max="4103" width="16.44140625" style="7" customWidth="1"/>
    <col min="4104" max="4104" width="13.6640625" style="7" customWidth="1"/>
    <col min="4105" max="4105" width="13.109375" style="7" customWidth="1"/>
    <col min="4106" max="4106" width="13.6640625" style="7" customWidth="1"/>
    <col min="4107" max="4107" width="18.33203125" style="7" customWidth="1"/>
    <col min="4108" max="4352" width="9.109375" style="7"/>
    <col min="4353" max="4353" width="22.88671875" style="7" customWidth="1"/>
    <col min="4354" max="4354" width="19.109375" style="7" customWidth="1"/>
    <col min="4355" max="4355" width="20" style="7" customWidth="1"/>
    <col min="4356" max="4356" width="18" style="7" customWidth="1"/>
    <col min="4357" max="4357" width="19.6640625" style="7" customWidth="1"/>
    <col min="4358" max="4358" width="16.109375" style="7" customWidth="1"/>
    <col min="4359" max="4359" width="16.44140625" style="7" customWidth="1"/>
    <col min="4360" max="4360" width="13.6640625" style="7" customWidth="1"/>
    <col min="4361" max="4361" width="13.109375" style="7" customWidth="1"/>
    <col min="4362" max="4362" width="13.6640625" style="7" customWidth="1"/>
    <col min="4363" max="4363" width="18.33203125" style="7" customWidth="1"/>
    <col min="4364" max="4608" width="9.109375" style="7"/>
    <col min="4609" max="4609" width="22.88671875" style="7" customWidth="1"/>
    <col min="4610" max="4610" width="19.109375" style="7" customWidth="1"/>
    <col min="4611" max="4611" width="20" style="7" customWidth="1"/>
    <col min="4612" max="4612" width="18" style="7" customWidth="1"/>
    <col min="4613" max="4613" width="19.6640625" style="7" customWidth="1"/>
    <col min="4614" max="4614" width="16.109375" style="7" customWidth="1"/>
    <col min="4615" max="4615" width="16.44140625" style="7" customWidth="1"/>
    <col min="4616" max="4616" width="13.6640625" style="7" customWidth="1"/>
    <col min="4617" max="4617" width="13.109375" style="7" customWidth="1"/>
    <col min="4618" max="4618" width="13.6640625" style="7" customWidth="1"/>
    <col min="4619" max="4619" width="18.33203125" style="7" customWidth="1"/>
    <col min="4620" max="4864" width="9.109375" style="7"/>
    <col min="4865" max="4865" width="22.88671875" style="7" customWidth="1"/>
    <col min="4866" max="4866" width="19.109375" style="7" customWidth="1"/>
    <col min="4867" max="4867" width="20" style="7" customWidth="1"/>
    <col min="4868" max="4868" width="18" style="7" customWidth="1"/>
    <col min="4869" max="4869" width="19.6640625" style="7" customWidth="1"/>
    <col min="4870" max="4870" width="16.109375" style="7" customWidth="1"/>
    <col min="4871" max="4871" width="16.44140625" style="7" customWidth="1"/>
    <col min="4872" max="4872" width="13.6640625" style="7" customWidth="1"/>
    <col min="4873" max="4873" width="13.109375" style="7" customWidth="1"/>
    <col min="4874" max="4874" width="13.6640625" style="7" customWidth="1"/>
    <col min="4875" max="4875" width="18.33203125" style="7" customWidth="1"/>
    <col min="4876" max="5120" width="9.109375" style="7"/>
    <col min="5121" max="5121" width="22.88671875" style="7" customWidth="1"/>
    <col min="5122" max="5122" width="19.109375" style="7" customWidth="1"/>
    <col min="5123" max="5123" width="20" style="7" customWidth="1"/>
    <col min="5124" max="5124" width="18" style="7" customWidth="1"/>
    <col min="5125" max="5125" width="19.6640625" style="7" customWidth="1"/>
    <col min="5126" max="5126" width="16.109375" style="7" customWidth="1"/>
    <col min="5127" max="5127" width="16.44140625" style="7" customWidth="1"/>
    <col min="5128" max="5128" width="13.6640625" style="7" customWidth="1"/>
    <col min="5129" max="5129" width="13.109375" style="7" customWidth="1"/>
    <col min="5130" max="5130" width="13.6640625" style="7" customWidth="1"/>
    <col min="5131" max="5131" width="18.33203125" style="7" customWidth="1"/>
    <col min="5132" max="5376" width="9.109375" style="7"/>
    <col min="5377" max="5377" width="22.88671875" style="7" customWidth="1"/>
    <col min="5378" max="5378" width="19.109375" style="7" customWidth="1"/>
    <col min="5379" max="5379" width="20" style="7" customWidth="1"/>
    <col min="5380" max="5380" width="18" style="7" customWidth="1"/>
    <col min="5381" max="5381" width="19.6640625" style="7" customWidth="1"/>
    <col min="5382" max="5382" width="16.109375" style="7" customWidth="1"/>
    <col min="5383" max="5383" width="16.44140625" style="7" customWidth="1"/>
    <col min="5384" max="5384" width="13.6640625" style="7" customWidth="1"/>
    <col min="5385" max="5385" width="13.109375" style="7" customWidth="1"/>
    <col min="5386" max="5386" width="13.6640625" style="7" customWidth="1"/>
    <col min="5387" max="5387" width="18.33203125" style="7" customWidth="1"/>
    <col min="5388" max="5632" width="9.109375" style="7"/>
    <col min="5633" max="5633" width="22.88671875" style="7" customWidth="1"/>
    <col min="5634" max="5634" width="19.109375" style="7" customWidth="1"/>
    <col min="5635" max="5635" width="20" style="7" customWidth="1"/>
    <col min="5636" max="5636" width="18" style="7" customWidth="1"/>
    <col min="5637" max="5637" width="19.6640625" style="7" customWidth="1"/>
    <col min="5638" max="5638" width="16.109375" style="7" customWidth="1"/>
    <col min="5639" max="5639" width="16.44140625" style="7" customWidth="1"/>
    <col min="5640" max="5640" width="13.6640625" style="7" customWidth="1"/>
    <col min="5641" max="5641" width="13.109375" style="7" customWidth="1"/>
    <col min="5642" max="5642" width="13.6640625" style="7" customWidth="1"/>
    <col min="5643" max="5643" width="18.33203125" style="7" customWidth="1"/>
    <col min="5644" max="5888" width="9.109375" style="7"/>
    <col min="5889" max="5889" width="22.88671875" style="7" customWidth="1"/>
    <col min="5890" max="5890" width="19.109375" style="7" customWidth="1"/>
    <col min="5891" max="5891" width="20" style="7" customWidth="1"/>
    <col min="5892" max="5892" width="18" style="7" customWidth="1"/>
    <col min="5893" max="5893" width="19.6640625" style="7" customWidth="1"/>
    <col min="5894" max="5894" width="16.109375" style="7" customWidth="1"/>
    <col min="5895" max="5895" width="16.44140625" style="7" customWidth="1"/>
    <col min="5896" max="5896" width="13.6640625" style="7" customWidth="1"/>
    <col min="5897" max="5897" width="13.109375" style="7" customWidth="1"/>
    <col min="5898" max="5898" width="13.6640625" style="7" customWidth="1"/>
    <col min="5899" max="5899" width="18.33203125" style="7" customWidth="1"/>
    <col min="5900" max="6144" width="9.109375" style="7"/>
    <col min="6145" max="6145" width="22.88671875" style="7" customWidth="1"/>
    <col min="6146" max="6146" width="19.109375" style="7" customWidth="1"/>
    <col min="6147" max="6147" width="20" style="7" customWidth="1"/>
    <col min="6148" max="6148" width="18" style="7" customWidth="1"/>
    <col min="6149" max="6149" width="19.6640625" style="7" customWidth="1"/>
    <col min="6150" max="6150" width="16.109375" style="7" customWidth="1"/>
    <col min="6151" max="6151" width="16.44140625" style="7" customWidth="1"/>
    <col min="6152" max="6152" width="13.6640625" style="7" customWidth="1"/>
    <col min="6153" max="6153" width="13.109375" style="7" customWidth="1"/>
    <col min="6154" max="6154" width="13.6640625" style="7" customWidth="1"/>
    <col min="6155" max="6155" width="18.33203125" style="7" customWidth="1"/>
    <col min="6156" max="6400" width="9.109375" style="7"/>
    <col min="6401" max="6401" width="22.88671875" style="7" customWidth="1"/>
    <col min="6402" max="6402" width="19.109375" style="7" customWidth="1"/>
    <col min="6403" max="6403" width="20" style="7" customWidth="1"/>
    <col min="6404" max="6404" width="18" style="7" customWidth="1"/>
    <col min="6405" max="6405" width="19.6640625" style="7" customWidth="1"/>
    <col min="6406" max="6406" width="16.109375" style="7" customWidth="1"/>
    <col min="6407" max="6407" width="16.44140625" style="7" customWidth="1"/>
    <col min="6408" max="6408" width="13.6640625" style="7" customWidth="1"/>
    <col min="6409" max="6409" width="13.109375" style="7" customWidth="1"/>
    <col min="6410" max="6410" width="13.6640625" style="7" customWidth="1"/>
    <col min="6411" max="6411" width="18.33203125" style="7" customWidth="1"/>
    <col min="6412" max="6656" width="9.109375" style="7"/>
    <col min="6657" max="6657" width="22.88671875" style="7" customWidth="1"/>
    <col min="6658" max="6658" width="19.109375" style="7" customWidth="1"/>
    <col min="6659" max="6659" width="20" style="7" customWidth="1"/>
    <col min="6660" max="6660" width="18" style="7" customWidth="1"/>
    <col min="6661" max="6661" width="19.6640625" style="7" customWidth="1"/>
    <col min="6662" max="6662" width="16.109375" style="7" customWidth="1"/>
    <col min="6663" max="6663" width="16.44140625" style="7" customWidth="1"/>
    <col min="6664" max="6664" width="13.6640625" style="7" customWidth="1"/>
    <col min="6665" max="6665" width="13.109375" style="7" customWidth="1"/>
    <col min="6666" max="6666" width="13.6640625" style="7" customWidth="1"/>
    <col min="6667" max="6667" width="18.33203125" style="7" customWidth="1"/>
    <col min="6668" max="6912" width="9.109375" style="7"/>
    <col min="6913" max="6913" width="22.88671875" style="7" customWidth="1"/>
    <col min="6914" max="6914" width="19.109375" style="7" customWidth="1"/>
    <col min="6915" max="6915" width="20" style="7" customWidth="1"/>
    <col min="6916" max="6916" width="18" style="7" customWidth="1"/>
    <col min="6917" max="6917" width="19.6640625" style="7" customWidth="1"/>
    <col min="6918" max="6918" width="16.109375" style="7" customWidth="1"/>
    <col min="6919" max="6919" width="16.44140625" style="7" customWidth="1"/>
    <col min="6920" max="6920" width="13.6640625" style="7" customWidth="1"/>
    <col min="6921" max="6921" width="13.109375" style="7" customWidth="1"/>
    <col min="6922" max="6922" width="13.6640625" style="7" customWidth="1"/>
    <col min="6923" max="6923" width="18.33203125" style="7" customWidth="1"/>
    <col min="6924" max="7168" width="9.109375" style="7"/>
    <col min="7169" max="7169" width="22.88671875" style="7" customWidth="1"/>
    <col min="7170" max="7170" width="19.109375" style="7" customWidth="1"/>
    <col min="7171" max="7171" width="20" style="7" customWidth="1"/>
    <col min="7172" max="7172" width="18" style="7" customWidth="1"/>
    <col min="7173" max="7173" width="19.6640625" style="7" customWidth="1"/>
    <col min="7174" max="7174" width="16.109375" style="7" customWidth="1"/>
    <col min="7175" max="7175" width="16.44140625" style="7" customWidth="1"/>
    <col min="7176" max="7176" width="13.6640625" style="7" customWidth="1"/>
    <col min="7177" max="7177" width="13.109375" style="7" customWidth="1"/>
    <col min="7178" max="7178" width="13.6640625" style="7" customWidth="1"/>
    <col min="7179" max="7179" width="18.33203125" style="7" customWidth="1"/>
    <col min="7180" max="7424" width="9.109375" style="7"/>
    <col min="7425" max="7425" width="22.88671875" style="7" customWidth="1"/>
    <col min="7426" max="7426" width="19.109375" style="7" customWidth="1"/>
    <col min="7427" max="7427" width="20" style="7" customWidth="1"/>
    <col min="7428" max="7428" width="18" style="7" customWidth="1"/>
    <col min="7429" max="7429" width="19.6640625" style="7" customWidth="1"/>
    <col min="7430" max="7430" width="16.109375" style="7" customWidth="1"/>
    <col min="7431" max="7431" width="16.44140625" style="7" customWidth="1"/>
    <col min="7432" max="7432" width="13.6640625" style="7" customWidth="1"/>
    <col min="7433" max="7433" width="13.109375" style="7" customWidth="1"/>
    <col min="7434" max="7434" width="13.6640625" style="7" customWidth="1"/>
    <col min="7435" max="7435" width="18.33203125" style="7" customWidth="1"/>
    <col min="7436" max="7680" width="9.109375" style="7"/>
    <col min="7681" max="7681" width="22.88671875" style="7" customWidth="1"/>
    <col min="7682" max="7682" width="19.109375" style="7" customWidth="1"/>
    <col min="7683" max="7683" width="20" style="7" customWidth="1"/>
    <col min="7684" max="7684" width="18" style="7" customWidth="1"/>
    <col min="7685" max="7685" width="19.6640625" style="7" customWidth="1"/>
    <col min="7686" max="7686" width="16.109375" style="7" customWidth="1"/>
    <col min="7687" max="7687" width="16.44140625" style="7" customWidth="1"/>
    <col min="7688" max="7688" width="13.6640625" style="7" customWidth="1"/>
    <col min="7689" max="7689" width="13.109375" style="7" customWidth="1"/>
    <col min="7690" max="7690" width="13.6640625" style="7" customWidth="1"/>
    <col min="7691" max="7691" width="18.33203125" style="7" customWidth="1"/>
    <col min="7692" max="7936" width="9.109375" style="7"/>
    <col min="7937" max="7937" width="22.88671875" style="7" customWidth="1"/>
    <col min="7938" max="7938" width="19.109375" style="7" customWidth="1"/>
    <col min="7939" max="7939" width="20" style="7" customWidth="1"/>
    <col min="7940" max="7940" width="18" style="7" customWidth="1"/>
    <col min="7941" max="7941" width="19.6640625" style="7" customWidth="1"/>
    <col min="7942" max="7942" width="16.109375" style="7" customWidth="1"/>
    <col min="7943" max="7943" width="16.44140625" style="7" customWidth="1"/>
    <col min="7944" max="7944" width="13.6640625" style="7" customWidth="1"/>
    <col min="7945" max="7945" width="13.109375" style="7" customWidth="1"/>
    <col min="7946" max="7946" width="13.6640625" style="7" customWidth="1"/>
    <col min="7947" max="7947" width="18.33203125" style="7" customWidth="1"/>
    <col min="7948" max="8192" width="9.109375" style="7"/>
    <col min="8193" max="8193" width="22.88671875" style="7" customWidth="1"/>
    <col min="8194" max="8194" width="19.109375" style="7" customWidth="1"/>
    <col min="8195" max="8195" width="20" style="7" customWidth="1"/>
    <col min="8196" max="8196" width="18" style="7" customWidth="1"/>
    <col min="8197" max="8197" width="19.6640625" style="7" customWidth="1"/>
    <col min="8198" max="8198" width="16.109375" style="7" customWidth="1"/>
    <col min="8199" max="8199" width="16.44140625" style="7" customWidth="1"/>
    <col min="8200" max="8200" width="13.6640625" style="7" customWidth="1"/>
    <col min="8201" max="8201" width="13.109375" style="7" customWidth="1"/>
    <col min="8202" max="8202" width="13.6640625" style="7" customWidth="1"/>
    <col min="8203" max="8203" width="18.33203125" style="7" customWidth="1"/>
    <col min="8204" max="8448" width="9.109375" style="7"/>
    <col min="8449" max="8449" width="22.88671875" style="7" customWidth="1"/>
    <col min="8450" max="8450" width="19.109375" style="7" customWidth="1"/>
    <col min="8451" max="8451" width="20" style="7" customWidth="1"/>
    <col min="8452" max="8452" width="18" style="7" customWidth="1"/>
    <col min="8453" max="8453" width="19.6640625" style="7" customWidth="1"/>
    <col min="8454" max="8454" width="16.109375" style="7" customWidth="1"/>
    <col min="8455" max="8455" width="16.44140625" style="7" customWidth="1"/>
    <col min="8456" max="8456" width="13.6640625" style="7" customWidth="1"/>
    <col min="8457" max="8457" width="13.109375" style="7" customWidth="1"/>
    <col min="8458" max="8458" width="13.6640625" style="7" customWidth="1"/>
    <col min="8459" max="8459" width="18.33203125" style="7" customWidth="1"/>
    <col min="8460" max="8704" width="9.109375" style="7"/>
    <col min="8705" max="8705" width="22.88671875" style="7" customWidth="1"/>
    <col min="8706" max="8706" width="19.109375" style="7" customWidth="1"/>
    <col min="8707" max="8707" width="20" style="7" customWidth="1"/>
    <col min="8708" max="8708" width="18" style="7" customWidth="1"/>
    <col min="8709" max="8709" width="19.6640625" style="7" customWidth="1"/>
    <col min="8710" max="8710" width="16.109375" style="7" customWidth="1"/>
    <col min="8711" max="8711" width="16.44140625" style="7" customWidth="1"/>
    <col min="8712" max="8712" width="13.6640625" style="7" customWidth="1"/>
    <col min="8713" max="8713" width="13.109375" style="7" customWidth="1"/>
    <col min="8714" max="8714" width="13.6640625" style="7" customWidth="1"/>
    <col min="8715" max="8715" width="18.33203125" style="7" customWidth="1"/>
    <col min="8716" max="8960" width="9.109375" style="7"/>
    <col min="8961" max="8961" width="22.88671875" style="7" customWidth="1"/>
    <col min="8962" max="8962" width="19.109375" style="7" customWidth="1"/>
    <col min="8963" max="8963" width="20" style="7" customWidth="1"/>
    <col min="8964" max="8964" width="18" style="7" customWidth="1"/>
    <col min="8965" max="8965" width="19.6640625" style="7" customWidth="1"/>
    <col min="8966" max="8966" width="16.109375" style="7" customWidth="1"/>
    <col min="8967" max="8967" width="16.44140625" style="7" customWidth="1"/>
    <col min="8968" max="8968" width="13.6640625" style="7" customWidth="1"/>
    <col min="8969" max="8969" width="13.109375" style="7" customWidth="1"/>
    <col min="8970" max="8970" width="13.6640625" style="7" customWidth="1"/>
    <col min="8971" max="8971" width="18.33203125" style="7" customWidth="1"/>
    <col min="8972" max="9216" width="9.109375" style="7"/>
    <col min="9217" max="9217" width="22.88671875" style="7" customWidth="1"/>
    <col min="9218" max="9218" width="19.109375" style="7" customWidth="1"/>
    <col min="9219" max="9219" width="20" style="7" customWidth="1"/>
    <col min="9220" max="9220" width="18" style="7" customWidth="1"/>
    <col min="9221" max="9221" width="19.6640625" style="7" customWidth="1"/>
    <col min="9222" max="9222" width="16.109375" style="7" customWidth="1"/>
    <col min="9223" max="9223" width="16.44140625" style="7" customWidth="1"/>
    <col min="9224" max="9224" width="13.6640625" style="7" customWidth="1"/>
    <col min="9225" max="9225" width="13.109375" style="7" customWidth="1"/>
    <col min="9226" max="9226" width="13.6640625" style="7" customWidth="1"/>
    <col min="9227" max="9227" width="18.33203125" style="7" customWidth="1"/>
    <col min="9228" max="9472" width="9.109375" style="7"/>
    <col min="9473" max="9473" width="22.88671875" style="7" customWidth="1"/>
    <col min="9474" max="9474" width="19.109375" style="7" customWidth="1"/>
    <col min="9475" max="9475" width="20" style="7" customWidth="1"/>
    <col min="9476" max="9476" width="18" style="7" customWidth="1"/>
    <col min="9477" max="9477" width="19.6640625" style="7" customWidth="1"/>
    <col min="9478" max="9478" width="16.109375" style="7" customWidth="1"/>
    <col min="9479" max="9479" width="16.44140625" style="7" customWidth="1"/>
    <col min="9480" max="9480" width="13.6640625" style="7" customWidth="1"/>
    <col min="9481" max="9481" width="13.109375" style="7" customWidth="1"/>
    <col min="9482" max="9482" width="13.6640625" style="7" customWidth="1"/>
    <col min="9483" max="9483" width="18.33203125" style="7" customWidth="1"/>
    <col min="9484" max="9728" width="9.109375" style="7"/>
    <col min="9729" max="9729" width="22.88671875" style="7" customWidth="1"/>
    <col min="9730" max="9730" width="19.109375" style="7" customWidth="1"/>
    <col min="9731" max="9731" width="20" style="7" customWidth="1"/>
    <col min="9732" max="9732" width="18" style="7" customWidth="1"/>
    <col min="9733" max="9733" width="19.6640625" style="7" customWidth="1"/>
    <col min="9734" max="9734" width="16.109375" style="7" customWidth="1"/>
    <col min="9735" max="9735" width="16.44140625" style="7" customWidth="1"/>
    <col min="9736" max="9736" width="13.6640625" style="7" customWidth="1"/>
    <col min="9737" max="9737" width="13.109375" style="7" customWidth="1"/>
    <col min="9738" max="9738" width="13.6640625" style="7" customWidth="1"/>
    <col min="9739" max="9739" width="18.33203125" style="7" customWidth="1"/>
    <col min="9740" max="9984" width="9.109375" style="7"/>
    <col min="9985" max="9985" width="22.88671875" style="7" customWidth="1"/>
    <col min="9986" max="9986" width="19.109375" style="7" customWidth="1"/>
    <col min="9987" max="9987" width="20" style="7" customWidth="1"/>
    <col min="9988" max="9988" width="18" style="7" customWidth="1"/>
    <col min="9989" max="9989" width="19.6640625" style="7" customWidth="1"/>
    <col min="9990" max="9990" width="16.109375" style="7" customWidth="1"/>
    <col min="9991" max="9991" width="16.44140625" style="7" customWidth="1"/>
    <col min="9992" max="9992" width="13.6640625" style="7" customWidth="1"/>
    <col min="9993" max="9993" width="13.109375" style="7" customWidth="1"/>
    <col min="9994" max="9994" width="13.6640625" style="7" customWidth="1"/>
    <col min="9995" max="9995" width="18.33203125" style="7" customWidth="1"/>
    <col min="9996" max="10240" width="9.109375" style="7"/>
    <col min="10241" max="10241" width="22.88671875" style="7" customWidth="1"/>
    <col min="10242" max="10242" width="19.109375" style="7" customWidth="1"/>
    <col min="10243" max="10243" width="20" style="7" customWidth="1"/>
    <col min="10244" max="10244" width="18" style="7" customWidth="1"/>
    <col min="10245" max="10245" width="19.6640625" style="7" customWidth="1"/>
    <col min="10246" max="10246" width="16.109375" style="7" customWidth="1"/>
    <col min="10247" max="10247" width="16.44140625" style="7" customWidth="1"/>
    <col min="10248" max="10248" width="13.6640625" style="7" customWidth="1"/>
    <col min="10249" max="10249" width="13.109375" style="7" customWidth="1"/>
    <col min="10250" max="10250" width="13.6640625" style="7" customWidth="1"/>
    <col min="10251" max="10251" width="18.33203125" style="7" customWidth="1"/>
    <col min="10252" max="10496" width="9.109375" style="7"/>
    <col min="10497" max="10497" width="22.88671875" style="7" customWidth="1"/>
    <col min="10498" max="10498" width="19.109375" style="7" customWidth="1"/>
    <col min="10499" max="10499" width="20" style="7" customWidth="1"/>
    <col min="10500" max="10500" width="18" style="7" customWidth="1"/>
    <col min="10501" max="10501" width="19.6640625" style="7" customWidth="1"/>
    <col min="10502" max="10502" width="16.109375" style="7" customWidth="1"/>
    <col min="10503" max="10503" width="16.44140625" style="7" customWidth="1"/>
    <col min="10504" max="10504" width="13.6640625" style="7" customWidth="1"/>
    <col min="10505" max="10505" width="13.109375" style="7" customWidth="1"/>
    <col min="10506" max="10506" width="13.6640625" style="7" customWidth="1"/>
    <col min="10507" max="10507" width="18.33203125" style="7" customWidth="1"/>
    <col min="10508" max="10752" width="9.109375" style="7"/>
    <col min="10753" max="10753" width="22.88671875" style="7" customWidth="1"/>
    <col min="10754" max="10754" width="19.109375" style="7" customWidth="1"/>
    <col min="10755" max="10755" width="20" style="7" customWidth="1"/>
    <col min="10756" max="10756" width="18" style="7" customWidth="1"/>
    <col min="10757" max="10757" width="19.6640625" style="7" customWidth="1"/>
    <col min="10758" max="10758" width="16.109375" style="7" customWidth="1"/>
    <col min="10759" max="10759" width="16.44140625" style="7" customWidth="1"/>
    <col min="10760" max="10760" width="13.6640625" style="7" customWidth="1"/>
    <col min="10761" max="10761" width="13.109375" style="7" customWidth="1"/>
    <col min="10762" max="10762" width="13.6640625" style="7" customWidth="1"/>
    <col min="10763" max="10763" width="18.33203125" style="7" customWidth="1"/>
    <col min="10764" max="11008" width="9.109375" style="7"/>
    <col min="11009" max="11009" width="22.88671875" style="7" customWidth="1"/>
    <col min="11010" max="11010" width="19.109375" style="7" customWidth="1"/>
    <col min="11011" max="11011" width="20" style="7" customWidth="1"/>
    <col min="11012" max="11012" width="18" style="7" customWidth="1"/>
    <col min="11013" max="11013" width="19.6640625" style="7" customWidth="1"/>
    <col min="11014" max="11014" width="16.109375" style="7" customWidth="1"/>
    <col min="11015" max="11015" width="16.44140625" style="7" customWidth="1"/>
    <col min="11016" max="11016" width="13.6640625" style="7" customWidth="1"/>
    <col min="11017" max="11017" width="13.109375" style="7" customWidth="1"/>
    <col min="11018" max="11018" width="13.6640625" style="7" customWidth="1"/>
    <col min="11019" max="11019" width="18.33203125" style="7" customWidth="1"/>
    <col min="11020" max="11264" width="9.109375" style="7"/>
    <col min="11265" max="11265" width="22.88671875" style="7" customWidth="1"/>
    <col min="11266" max="11266" width="19.109375" style="7" customWidth="1"/>
    <col min="11267" max="11267" width="20" style="7" customWidth="1"/>
    <col min="11268" max="11268" width="18" style="7" customWidth="1"/>
    <col min="11269" max="11269" width="19.6640625" style="7" customWidth="1"/>
    <col min="11270" max="11270" width="16.109375" style="7" customWidth="1"/>
    <col min="11271" max="11271" width="16.44140625" style="7" customWidth="1"/>
    <col min="11272" max="11272" width="13.6640625" style="7" customWidth="1"/>
    <col min="11273" max="11273" width="13.109375" style="7" customWidth="1"/>
    <col min="11274" max="11274" width="13.6640625" style="7" customWidth="1"/>
    <col min="11275" max="11275" width="18.33203125" style="7" customWidth="1"/>
    <col min="11276" max="11520" width="9.109375" style="7"/>
    <col min="11521" max="11521" width="22.88671875" style="7" customWidth="1"/>
    <col min="11522" max="11522" width="19.109375" style="7" customWidth="1"/>
    <col min="11523" max="11523" width="20" style="7" customWidth="1"/>
    <col min="11524" max="11524" width="18" style="7" customWidth="1"/>
    <col min="11525" max="11525" width="19.6640625" style="7" customWidth="1"/>
    <col min="11526" max="11526" width="16.109375" style="7" customWidth="1"/>
    <col min="11527" max="11527" width="16.44140625" style="7" customWidth="1"/>
    <col min="11528" max="11528" width="13.6640625" style="7" customWidth="1"/>
    <col min="11529" max="11529" width="13.109375" style="7" customWidth="1"/>
    <col min="11530" max="11530" width="13.6640625" style="7" customWidth="1"/>
    <col min="11531" max="11531" width="18.33203125" style="7" customWidth="1"/>
    <col min="11532" max="11776" width="9.109375" style="7"/>
    <col min="11777" max="11777" width="22.88671875" style="7" customWidth="1"/>
    <col min="11778" max="11778" width="19.109375" style="7" customWidth="1"/>
    <col min="11779" max="11779" width="20" style="7" customWidth="1"/>
    <col min="11780" max="11780" width="18" style="7" customWidth="1"/>
    <col min="11781" max="11781" width="19.6640625" style="7" customWidth="1"/>
    <col min="11782" max="11782" width="16.109375" style="7" customWidth="1"/>
    <col min="11783" max="11783" width="16.44140625" style="7" customWidth="1"/>
    <col min="11784" max="11784" width="13.6640625" style="7" customWidth="1"/>
    <col min="11785" max="11785" width="13.109375" style="7" customWidth="1"/>
    <col min="11786" max="11786" width="13.6640625" style="7" customWidth="1"/>
    <col min="11787" max="11787" width="18.33203125" style="7" customWidth="1"/>
    <col min="11788" max="12032" width="9.109375" style="7"/>
    <col min="12033" max="12033" width="22.88671875" style="7" customWidth="1"/>
    <col min="12034" max="12034" width="19.109375" style="7" customWidth="1"/>
    <col min="12035" max="12035" width="20" style="7" customWidth="1"/>
    <col min="12036" max="12036" width="18" style="7" customWidth="1"/>
    <col min="12037" max="12037" width="19.6640625" style="7" customWidth="1"/>
    <col min="12038" max="12038" width="16.109375" style="7" customWidth="1"/>
    <col min="12039" max="12039" width="16.44140625" style="7" customWidth="1"/>
    <col min="12040" max="12040" width="13.6640625" style="7" customWidth="1"/>
    <col min="12041" max="12041" width="13.109375" style="7" customWidth="1"/>
    <col min="12042" max="12042" width="13.6640625" style="7" customWidth="1"/>
    <col min="12043" max="12043" width="18.33203125" style="7" customWidth="1"/>
    <col min="12044" max="12288" width="9.109375" style="7"/>
    <col min="12289" max="12289" width="22.88671875" style="7" customWidth="1"/>
    <col min="12290" max="12290" width="19.109375" style="7" customWidth="1"/>
    <col min="12291" max="12291" width="20" style="7" customWidth="1"/>
    <col min="12292" max="12292" width="18" style="7" customWidth="1"/>
    <col min="12293" max="12293" width="19.6640625" style="7" customWidth="1"/>
    <col min="12294" max="12294" width="16.109375" style="7" customWidth="1"/>
    <col min="12295" max="12295" width="16.44140625" style="7" customWidth="1"/>
    <col min="12296" max="12296" width="13.6640625" style="7" customWidth="1"/>
    <col min="12297" max="12297" width="13.109375" style="7" customWidth="1"/>
    <col min="12298" max="12298" width="13.6640625" style="7" customWidth="1"/>
    <col min="12299" max="12299" width="18.33203125" style="7" customWidth="1"/>
    <col min="12300" max="12544" width="9.109375" style="7"/>
    <col min="12545" max="12545" width="22.88671875" style="7" customWidth="1"/>
    <col min="12546" max="12546" width="19.109375" style="7" customWidth="1"/>
    <col min="12547" max="12547" width="20" style="7" customWidth="1"/>
    <col min="12548" max="12548" width="18" style="7" customWidth="1"/>
    <col min="12549" max="12549" width="19.6640625" style="7" customWidth="1"/>
    <col min="12550" max="12550" width="16.109375" style="7" customWidth="1"/>
    <col min="12551" max="12551" width="16.44140625" style="7" customWidth="1"/>
    <col min="12552" max="12552" width="13.6640625" style="7" customWidth="1"/>
    <col min="12553" max="12553" width="13.109375" style="7" customWidth="1"/>
    <col min="12554" max="12554" width="13.6640625" style="7" customWidth="1"/>
    <col min="12555" max="12555" width="18.33203125" style="7" customWidth="1"/>
    <col min="12556" max="12800" width="9.109375" style="7"/>
    <col min="12801" max="12801" width="22.88671875" style="7" customWidth="1"/>
    <col min="12802" max="12802" width="19.109375" style="7" customWidth="1"/>
    <col min="12803" max="12803" width="20" style="7" customWidth="1"/>
    <col min="12804" max="12804" width="18" style="7" customWidth="1"/>
    <col min="12805" max="12805" width="19.6640625" style="7" customWidth="1"/>
    <col min="12806" max="12806" width="16.109375" style="7" customWidth="1"/>
    <col min="12807" max="12807" width="16.44140625" style="7" customWidth="1"/>
    <col min="12808" max="12808" width="13.6640625" style="7" customWidth="1"/>
    <col min="12809" max="12809" width="13.109375" style="7" customWidth="1"/>
    <col min="12810" max="12810" width="13.6640625" style="7" customWidth="1"/>
    <col min="12811" max="12811" width="18.33203125" style="7" customWidth="1"/>
    <col min="12812" max="13056" width="9.109375" style="7"/>
    <col min="13057" max="13057" width="22.88671875" style="7" customWidth="1"/>
    <col min="13058" max="13058" width="19.109375" style="7" customWidth="1"/>
    <col min="13059" max="13059" width="20" style="7" customWidth="1"/>
    <col min="13060" max="13060" width="18" style="7" customWidth="1"/>
    <col min="13061" max="13061" width="19.6640625" style="7" customWidth="1"/>
    <col min="13062" max="13062" width="16.109375" style="7" customWidth="1"/>
    <col min="13063" max="13063" width="16.44140625" style="7" customWidth="1"/>
    <col min="13064" max="13064" width="13.6640625" style="7" customWidth="1"/>
    <col min="13065" max="13065" width="13.109375" style="7" customWidth="1"/>
    <col min="13066" max="13066" width="13.6640625" style="7" customWidth="1"/>
    <col min="13067" max="13067" width="18.33203125" style="7" customWidth="1"/>
    <col min="13068" max="13312" width="9.109375" style="7"/>
    <col min="13313" max="13313" width="22.88671875" style="7" customWidth="1"/>
    <col min="13314" max="13314" width="19.109375" style="7" customWidth="1"/>
    <col min="13315" max="13315" width="20" style="7" customWidth="1"/>
    <col min="13316" max="13316" width="18" style="7" customWidth="1"/>
    <col min="13317" max="13317" width="19.6640625" style="7" customWidth="1"/>
    <col min="13318" max="13318" width="16.109375" style="7" customWidth="1"/>
    <col min="13319" max="13319" width="16.44140625" style="7" customWidth="1"/>
    <col min="13320" max="13320" width="13.6640625" style="7" customWidth="1"/>
    <col min="13321" max="13321" width="13.109375" style="7" customWidth="1"/>
    <col min="13322" max="13322" width="13.6640625" style="7" customWidth="1"/>
    <col min="13323" max="13323" width="18.33203125" style="7" customWidth="1"/>
    <col min="13324" max="13568" width="9.109375" style="7"/>
    <col min="13569" max="13569" width="22.88671875" style="7" customWidth="1"/>
    <col min="13570" max="13570" width="19.109375" style="7" customWidth="1"/>
    <col min="13571" max="13571" width="20" style="7" customWidth="1"/>
    <col min="13572" max="13572" width="18" style="7" customWidth="1"/>
    <col min="13573" max="13573" width="19.6640625" style="7" customWidth="1"/>
    <col min="13574" max="13574" width="16.109375" style="7" customWidth="1"/>
    <col min="13575" max="13575" width="16.44140625" style="7" customWidth="1"/>
    <col min="13576" max="13576" width="13.6640625" style="7" customWidth="1"/>
    <col min="13577" max="13577" width="13.109375" style="7" customWidth="1"/>
    <col min="13578" max="13578" width="13.6640625" style="7" customWidth="1"/>
    <col min="13579" max="13579" width="18.33203125" style="7" customWidth="1"/>
    <col min="13580" max="13824" width="9.109375" style="7"/>
    <col min="13825" max="13825" width="22.88671875" style="7" customWidth="1"/>
    <col min="13826" max="13826" width="19.109375" style="7" customWidth="1"/>
    <col min="13827" max="13827" width="20" style="7" customWidth="1"/>
    <col min="13828" max="13828" width="18" style="7" customWidth="1"/>
    <col min="13829" max="13829" width="19.6640625" style="7" customWidth="1"/>
    <col min="13830" max="13830" width="16.109375" style="7" customWidth="1"/>
    <col min="13831" max="13831" width="16.44140625" style="7" customWidth="1"/>
    <col min="13832" max="13832" width="13.6640625" style="7" customWidth="1"/>
    <col min="13833" max="13833" width="13.109375" style="7" customWidth="1"/>
    <col min="13834" max="13834" width="13.6640625" style="7" customWidth="1"/>
    <col min="13835" max="13835" width="18.33203125" style="7" customWidth="1"/>
    <col min="13836" max="14080" width="9.109375" style="7"/>
    <col min="14081" max="14081" width="22.88671875" style="7" customWidth="1"/>
    <col min="14082" max="14082" width="19.109375" style="7" customWidth="1"/>
    <col min="14083" max="14083" width="20" style="7" customWidth="1"/>
    <col min="14084" max="14084" width="18" style="7" customWidth="1"/>
    <col min="14085" max="14085" width="19.6640625" style="7" customWidth="1"/>
    <col min="14086" max="14086" width="16.109375" style="7" customWidth="1"/>
    <col min="14087" max="14087" width="16.44140625" style="7" customWidth="1"/>
    <col min="14088" max="14088" width="13.6640625" style="7" customWidth="1"/>
    <col min="14089" max="14089" width="13.109375" style="7" customWidth="1"/>
    <col min="14090" max="14090" width="13.6640625" style="7" customWidth="1"/>
    <col min="14091" max="14091" width="18.33203125" style="7" customWidth="1"/>
    <col min="14092" max="14336" width="9.109375" style="7"/>
    <col min="14337" max="14337" width="22.88671875" style="7" customWidth="1"/>
    <col min="14338" max="14338" width="19.109375" style="7" customWidth="1"/>
    <col min="14339" max="14339" width="20" style="7" customWidth="1"/>
    <col min="14340" max="14340" width="18" style="7" customWidth="1"/>
    <col min="14341" max="14341" width="19.6640625" style="7" customWidth="1"/>
    <col min="14342" max="14342" width="16.109375" style="7" customWidth="1"/>
    <col min="14343" max="14343" width="16.44140625" style="7" customWidth="1"/>
    <col min="14344" max="14344" width="13.6640625" style="7" customWidth="1"/>
    <col min="14345" max="14345" width="13.109375" style="7" customWidth="1"/>
    <col min="14346" max="14346" width="13.6640625" style="7" customWidth="1"/>
    <col min="14347" max="14347" width="18.33203125" style="7" customWidth="1"/>
    <col min="14348" max="14592" width="9.109375" style="7"/>
    <col min="14593" max="14593" width="22.88671875" style="7" customWidth="1"/>
    <col min="14594" max="14594" width="19.109375" style="7" customWidth="1"/>
    <col min="14595" max="14595" width="20" style="7" customWidth="1"/>
    <col min="14596" max="14596" width="18" style="7" customWidth="1"/>
    <col min="14597" max="14597" width="19.6640625" style="7" customWidth="1"/>
    <col min="14598" max="14598" width="16.109375" style="7" customWidth="1"/>
    <col min="14599" max="14599" width="16.44140625" style="7" customWidth="1"/>
    <col min="14600" max="14600" width="13.6640625" style="7" customWidth="1"/>
    <col min="14601" max="14601" width="13.109375" style="7" customWidth="1"/>
    <col min="14602" max="14602" width="13.6640625" style="7" customWidth="1"/>
    <col min="14603" max="14603" width="18.33203125" style="7" customWidth="1"/>
    <col min="14604" max="14848" width="9.109375" style="7"/>
    <col min="14849" max="14849" width="22.88671875" style="7" customWidth="1"/>
    <col min="14850" max="14850" width="19.109375" style="7" customWidth="1"/>
    <col min="14851" max="14851" width="20" style="7" customWidth="1"/>
    <col min="14852" max="14852" width="18" style="7" customWidth="1"/>
    <col min="14853" max="14853" width="19.6640625" style="7" customWidth="1"/>
    <col min="14854" max="14854" width="16.109375" style="7" customWidth="1"/>
    <col min="14855" max="14855" width="16.44140625" style="7" customWidth="1"/>
    <col min="14856" max="14856" width="13.6640625" style="7" customWidth="1"/>
    <col min="14857" max="14857" width="13.109375" style="7" customWidth="1"/>
    <col min="14858" max="14858" width="13.6640625" style="7" customWidth="1"/>
    <col min="14859" max="14859" width="18.33203125" style="7" customWidth="1"/>
    <col min="14860" max="15104" width="9.109375" style="7"/>
    <col min="15105" max="15105" width="22.88671875" style="7" customWidth="1"/>
    <col min="15106" max="15106" width="19.109375" style="7" customWidth="1"/>
    <col min="15107" max="15107" width="20" style="7" customWidth="1"/>
    <col min="15108" max="15108" width="18" style="7" customWidth="1"/>
    <col min="15109" max="15109" width="19.6640625" style="7" customWidth="1"/>
    <col min="15110" max="15110" width="16.109375" style="7" customWidth="1"/>
    <col min="15111" max="15111" width="16.44140625" style="7" customWidth="1"/>
    <col min="15112" max="15112" width="13.6640625" style="7" customWidth="1"/>
    <col min="15113" max="15113" width="13.109375" style="7" customWidth="1"/>
    <col min="15114" max="15114" width="13.6640625" style="7" customWidth="1"/>
    <col min="15115" max="15115" width="18.33203125" style="7" customWidth="1"/>
    <col min="15116" max="15360" width="9.109375" style="7"/>
    <col min="15361" max="15361" width="22.88671875" style="7" customWidth="1"/>
    <col min="15362" max="15362" width="19.109375" style="7" customWidth="1"/>
    <col min="15363" max="15363" width="20" style="7" customWidth="1"/>
    <col min="15364" max="15364" width="18" style="7" customWidth="1"/>
    <col min="15365" max="15365" width="19.6640625" style="7" customWidth="1"/>
    <col min="15366" max="15366" width="16.109375" style="7" customWidth="1"/>
    <col min="15367" max="15367" width="16.44140625" style="7" customWidth="1"/>
    <col min="15368" max="15368" width="13.6640625" style="7" customWidth="1"/>
    <col min="15369" max="15369" width="13.109375" style="7" customWidth="1"/>
    <col min="15370" max="15370" width="13.6640625" style="7" customWidth="1"/>
    <col min="15371" max="15371" width="18.33203125" style="7" customWidth="1"/>
    <col min="15372" max="15616" width="9.109375" style="7"/>
    <col min="15617" max="15617" width="22.88671875" style="7" customWidth="1"/>
    <col min="15618" max="15618" width="19.109375" style="7" customWidth="1"/>
    <col min="15619" max="15619" width="20" style="7" customWidth="1"/>
    <col min="15620" max="15620" width="18" style="7" customWidth="1"/>
    <col min="15621" max="15621" width="19.6640625" style="7" customWidth="1"/>
    <col min="15622" max="15622" width="16.109375" style="7" customWidth="1"/>
    <col min="15623" max="15623" width="16.44140625" style="7" customWidth="1"/>
    <col min="15624" max="15624" width="13.6640625" style="7" customWidth="1"/>
    <col min="15625" max="15625" width="13.109375" style="7" customWidth="1"/>
    <col min="15626" max="15626" width="13.6640625" style="7" customWidth="1"/>
    <col min="15627" max="15627" width="18.33203125" style="7" customWidth="1"/>
    <col min="15628" max="15872" width="9.109375" style="7"/>
    <col min="15873" max="15873" width="22.88671875" style="7" customWidth="1"/>
    <col min="15874" max="15874" width="19.109375" style="7" customWidth="1"/>
    <col min="15875" max="15875" width="20" style="7" customWidth="1"/>
    <col min="15876" max="15876" width="18" style="7" customWidth="1"/>
    <col min="15877" max="15877" width="19.6640625" style="7" customWidth="1"/>
    <col min="15878" max="15878" width="16.109375" style="7" customWidth="1"/>
    <col min="15879" max="15879" width="16.44140625" style="7" customWidth="1"/>
    <col min="15880" max="15880" width="13.6640625" style="7" customWidth="1"/>
    <col min="15881" max="15881" width="13.109375" style="7" customWidth="1"/>
    <col min="15882" max="15882" width="13.6640625" style="7" customWidth="1"/>
    <col min="15883" max="15883" width="18.33203125" style="7" customWidth="1"/>
    <col min="15884" max="16128" width="9.109375" style="7"/>
    <col min="16129" max="16129" width="22.88671875" style="7" customWidth="1"/>
    <col min="16130" max="16130" width="19.109375" style="7" customWidth="1"/>
    <col min="16131" max="16131" width="20" style="7" customWidth="1"/>
    <col min="16132" max="16132" width="18" style="7" customWidth="1"/>
    <col min="16133" max="16133" width="19.6640625" style="7" customWidth="1"/>
    <col min="16134" max="16134" width="16.109375" style="7" customWidth="1"/>
    <col min="16135" max="16135" width="16.44140625" style="7" customWidth="1"/>
    <col min="16136" max="16136" width="13.6640625" style="7" customWidth="1"/>
    <col min="16137" max="16137" width="13.109375" style="7" customWidth="1"/>
    <col min="16138" max="16138" width="13.6640625" style="7" customWidth="1"/>
    <col min="16139" max="16139" width="18.33203125" style="7" customWidth="1"/>
    <col min="16140" max="16384" width="9.109375" style="7"/>
  </cols>
  <sheetData>
    <row r="1" spans="1:14" s="2" customFormat="1" ht="15.6" x14ac:dyDescent="0.3">
      <c r="A1" s="1"/>
      <c r="D1" s="3"/>
      <c r="E1" s="4"/>
      <c r="F1" s="248" t="s">
        <v>0</v>
      </c>
      <c r="G1" s="248"/>
      <c r="H1" s="248"/>
      <c r="I1" s="248"/>
      <c r="J1" s="249"/>
    </row>
    <row r="2" spans="1:14" s="2" customFormat="1" ht="49.5" customHeight="1" x14ac:dyDescent="0.3">
      <c r="B2" s="5"/>
      <c r="C2" s="5"/>
      <c r="D2" s="6"/>
      <c r="E2" s="53"/>
      <c r="F2" s="725" t="s">
        <v>1</v>
      </c>
      <c r="G2" s="725"/>
      <c r="H2" s="725"/>
      <c r="I2" s="725"/>
      <c r="J2" s="725"/>
    </row>
    <row r="3" spans="1:14" ht="28.5" customHeight="1" x14ac:dyDescent="0.3">
      <c r="A3" s="700" t="s">
        <v>2</v>
      </c>
      <c r="B3" s="665"/>
      <c r="C3" s="665"/>
      <c r="D3" s="665"/>
      <c r="E3" s="665"/>
      <c r="F3" s="665"/>
      <c r="G3" s="665"/>
      <c r="H3" s="665"/>
      <c r="I3" s="665"/>
    </row>
    <row r="4" spans="1:14" ht="14.4" thickBot="1" x14ac:dyDescent="0.3">
      <c r="A4" s="644"/>
      <c r="B4" s="645"/>
      <c r="C4" s="645"/>
      <c r="D4" s="645"/>
      <c r="E4" s="645"/>
      <c r="F4" s="645"/>
      <c r="G4" s="645"/>
      <c r="H4" s="644"/>
      <c r="I4" s="644"/>
    </row>
    <row r="5" spans="1:14" ht="15" customHeight="1" thickBot="1" x14ac:dyDescent="0.35">
      <c r="A5" s="54"/>
      <c r="B5" s="304" t="s">
        <v>3</v>
      </c>
      <c r="C5" s="305"/>
      <c r="D5" s="305"/>
      <c r="E5" s="305"/>
      <c r="F5" s="305"/>
      <c r="G5" s="306"/>
      <c r="H5" s="55"/>
      <c r="I5" s="55"/>
    </row>
    <row r="6" spans="1:14" ht="144" x14ac:dyDescent="0.3">
      <c r="A6" s="310" t="s">
        <v>4</v>
      </c>
      <c r="B6" s="311" t="s">
        <v>5</v>
      </c>
      <c r="C6" s="312" t="s">
        <v>6</v>
      </c>
      <c r="D6" s="311" t="s">
        <v>7</v>
      </c>
      <c r="E6" s="313" t="s">
        <v>8</v>
      </c>
      <c r="F6" s="314" t="s">
        <v>9</v>
      </c>
      <c r="G6" s="314" t="s">
        <v>10</v>
      </c>
      <c r="H6" s="314" t="s">
        <v>11</v>
      </c>
      <c r="I6" s="315" t="s">
        <v>12</v>
      </c>
    </row>
    <row r="7" spans="1:14" s="8" customFormat="1" ht="14.25" customHeight="1" x14ac:dyDescent="0.3">
      <c r="A7" s="222" t="s">
        <v>13</v>
      </c>
      <c r="B7" s="223"/>
      <c r="C7" s="223"/>
      <c r="D7" s="223"/>
      <c r="E7" s="223"/>
      <c r="F7" s="223"/>
      <c r="G7" s="223"/>
      <c r="H7" s="223"/>
      <c r="I7" s="224"/>
    </row>
    <row r="8" spans="1:14" s="8" customFormat="1" ht="14.4" x14ac:dyDescent="0.3">
      <c r="A8" s="56" t="s">
        <v>43</v>
      </c>
      <c r="B8" s="57">
        <v>296309901.65999997</v>
      </c>
      <c r="C8" s="57">
        <v>342631.49</v>
      </c>
      <c r="D8" s="57">
        <v>223791126.73000002</v>
      </c>
      <c r="E8" s="57">
        <v>6522376.4399999995</v>
      </c>
      <c r="F8" s="57">
        <v>297284.40999999997</v>
      </c>
      <c r="G8" s="57">
        <v>7659956.2300000004</v>
      </c>
      <c r="H8" s="57">
        <v>41859534.359999992</v>
      </c>
      <c r="I8" s="58">
        <v>576440179.83000004</v>
      </c>
    </row>
    <row r="9" spans="1:14" ht="14.4" x14ac:dyDescent="0.3">
      <c r="A9" s="56" t="s">
        <v>14</v>
      </c>
      <c r="B9" s="57">
        <f>SUM(B10:B12)</f>
        <v>27085800.839999996</v>
      </c>
      <c r="C9" s="57">
        <f>SUM(C10:C12)</f>
        <v>2387576</v>
      </c>
      <c r="D9" s="673">
        <f>SUM(D11:D12)</f>
        <v>2952006.05</v>
      </c>
      <c r="E9" s="673">
        <f>SUM(E11:E12)</f>
        <v>231540.28</v>
      </c>
      <c r="F9" s="57">
        <f>SUM(F10:F12)</f>
        <v>0</v>
      </c>
      <c r="G9" s="57">
        <f>SUM(G10:G12)</f>
        <v>305884.86</v>
      </c>
      <c r="H9" s="57">
        <f>SUM(H10:H12)</f>
        <v>7736409.4300000016</v>
      </c>
      <c r="I9" s="58">
        <f>SUM(I10:I12)</f>
        <v>38311641.460000001</v>
      </c>
    </row>
    <row r="10" spans="1:14" ht="14.4" x14ac:dyDescent="0.3">
      <c r="A10" s="59" t="s">
        <v>15</v>
      </c>
      <c r="B10" s="61">
        <f>1872716.04+21629861.36+1195023.9</f>
        <v>24697601.299999997</v>
      </c>
      <c r="C10" s="346">
        <v>0</v>
      </c>
      <c r="D10" s="674">
        <v>0</v>
      </c>
      <c r="E10" s="674">
        <v>0</v>
      </c>
      <c r="F10" s="672">
        <v>0</v>
      </c>
      <c r="G10" s="61">
        <f>268540.86+17669.53-4179.6</f>
        <v>282030.79000000004</v>
      </c>
      <c r="H10" s="61">
        <f>-17669.53-41940-2330</f>
        <v>-61939.53</v>
      </c>
      <c r="I10" s="62">
        <f>B10+SUM(D10:H10)</f>
        <v>24917692.559999999</v>
      </c>
      <c r="N10" s="647"/>
    </row>
    <row r="11" spans="1:14" ht="14.4" x14ac:dyDescent="0.3">
      <c r="A11" s="59" t="s">
        <v>16</v>
      </c>
      <c r="B11" s="61">
        <f>623.54+2387576</f>
        <v>2388199.54</v>
      </c>
      <c r="C11" s="61">
        <v>2387576</v>
      </c>
      <c r="D11" s="96">
        <f>52351.32+2496226.64</f>
        <v>2548577.96</v>
      </c>
      <c r="E11" s="96">
        <v>0</v>
      </c>
      <c r="F11" s="60">
        <v>0</v>
      </c>
      <c r="G11" s="61">
        <v>4179.6000000000004</v>
      </c>
      <c r="H11" s="61">
        <v>8452991.8000000007</v>
      </c>
      <c r="I11" s="62">
        <f>B11+SUM(D11:H11)</f>
        <v>13393948.900000002</v>
      </c>
    </row>
    <row r="12" spans="1:14" ht="14.4" x14ac:dyDescent="0.3">
      <c r="A12" s="59" t="s">
        <v>17</v>
      </c>
      <c r="B12" s="61">
        <v>0</v>
      </c>
      <c r="C12" s="60">
        <v>0</v>
      </c>
      <c r="D12" s="61">
        <v>403428.09</v>
      </c>
      <c r="E12" s="61">
        <v>231540.28</v>
      </c>
      <c r="F12" s="61">
        <v>0</v>
      </c>
      <c r="G12" s="52">
        <v>19674.47</v>
      </c>
      <c r="H12" s="61">
        <f>-679238.37-19674.47+41940+2330</f>
        <v>-654642.84</v>
      </c>
      <c r="I12" s="62">
        <f>B12+SUM(D12:H12)</f>
        <v>0</v>
      </c>
    </row>
    <row r="13" spans="1:14" ht="14.4" x14ac:dyDescent="0.3">
      <c r="A13" s="56" t="s">
        <v>18</v>
      </c>
      <c r="B13" s="57">
        <f t="shared" ref="B13:I13" si="0">SUM(B14:B15)</f>
        <v>7317910.9500000002</v>
      </c>
      <c r="C13" s="57">
        <f t="shared" si="0"/>
        <v>8292.9</v>
      </c>
      <c r="D13" s="57">
        <f t="shared" si="0"/>
        <v>1519875.8599999999</v>
      </c>
      <c r="E13" s="57">
        <f t="shared" si="0"/>
        <v>100249.85999999999</v>
      </c>
      <c r="F13" s="57">
        <f t="shared" si="0"/>
        <v>0</v>
      </c>
      <c r="G13" s="57">
        <f t="shared" si="0"/>
        <v>266526.16000000003</v>
      </c>
      <c r="H13" s="57">
        <f t="shared" si="0"/>
        <v>31264.760000000002</v>
      </c>
      <c r="I13" s="58">
        <f t="shared" si="0"/>
        <v>9235827.5899999999</v>
      </c>
    </row>
    <row r="14" spans="1:14" ht="14.4" x14ac:dyDescent="0.3">
      <c r="A14" s="59" t="s">
        <v>19</v>
      </c>
      <c r="B14" s="60">
        <v>0</v>
      </c>
      <c r="C14" s="60">
        <v>0</v>
      </c>
      <c r="D14" s="61">
        <f>619352.5+725847.5</f>
        <v>1345200</v>
      </c>
      <c r="E14" s="61">
        <f>45457.2+54679.54+113.12</f>
        <v>100249.85999999999</v>
      </c>
      <c r="F14" s="61">
        <v>0</v>
      </c>
      <c r="G14" s="61">
        <f>120349.78+11955.17+134221.21</f>
        <v>266526.16000000003</v>
      </c>
      <c r="H14" s="60">
        <v>0</v>
      </c>
      <c r="I14" s="62">
        <f>B14+SUM(D14:H14)</f>
        <v>1711976.02</v>
      </c>
    </row>
    <row r="15" spans="1:14" ht="14.4" x14ac:dyDescent="0.3">
      <c r="A15" s="59" t="s">
        <v>16</v>
      </c>
      <c r="B15" s="61">
        <f>4736.6+3556.3+3208283.81+1713758.24+2387576</f>
        <v>7317910.9500000002</v>
      </c>
      <c r="C15" s="60">
        <v>8292.9</v>
      </c>
      <c r="D15" s="61">
        <f>172128.49+2547.37</f>
        <v>174675.86</v>
      </c>
      <c r="E15" s="61">
        <v>0</v>
      </c>
      <c r="F15" s="60">
        <v>0</v>
      </c>
      <c r="G15" s="61">
        <v>0</v>
      </c>
      <c r="H15" s="61">
        <f>31176.11+88.65</f>
        <v>31264.760000000002</v>
      </c>
      <c r="I15" s="62">
        <f>B15+SUM(D15:H15)</f>
        <v>7523851.5700000003</v>
      </c>
    </row>
    <row r="16" spans="1:14" ht="14.4" x14ac:dyDescent="0.3">
      <c r="A16" s="56" t="s">
        <v>44</v>
      </c>
      <c r="B16" s="57">
        <f t="shared" ref="B16:I16" si="1">B8+B9-B13</f>
        <v>316077791.54999995</v>
      </c>
      <c r="C16" s="57">
        <f t="shared" si="1"/>
        <v>2721914.5900000003</v>
      </c>
      <c r="D16" s="57">
        <f t="shared" si="1"/>
        <v>225223256.92000002</v>
      </c>
      <c r="E16" s="57">
        <f t="shared" si="1"/>
        <v>6653666.8599999994</v>
      </c>
      <c r="F16" s="57">
        <f t="shared" si="1"/>
        <v>297284.40999999997</v>
      </c>
      <c r="G16" s="57">
        <f t="shared" si="1"/>
        <v>7699314.9300000006</v>
      </c>
      <c r="H16" s="57">
        <f t="shared" si="1"/>
        <v>49564679.029999994</v>
      </c>
      <c r="I16" s="58">
        <f t="shared" si="1"/>
        <v>605515993.70000005</v>
      </c>
    </row>
    <row r="17" spans="1:9" ht="14.4" x14ac:dyDescent="0.3">
      <c r="A17" s="225" t="s">
        <v>20</v>
      </c>
      <c r="B17" s="226"/>
      <c r="C17" s="226"/>
      <c r="D17" s="226"/>
      <c r="E17" s="226"/>
      <c r="F17" s="226"/>
      <c r="G17" s="226"/>
      <c r="H17" s="226"/>
      <c r="I17" s="227"/>
    </row>
    <row r="18" spans="1:9" ht="14.4" x14ac:dyDescent="0.3">
      <c r="A18" s="56" t="s">
        <v>43</v>
      </c>
      <c r="B18" s="57">
        <v>15490184.51</v>
      </c>
      <c r="C18" s="57">
        <v>0</v>
      </c>
      <c r="D18" s="57">
        <v>88707894.989999995</v>
      </c>
      <c r="E18" s="57">
        <v>3333348.5</v>
      </c>
      <c r="F18" s="57">
        <v>210243.55000000002</v>
      </c>
      <c r="G18" s="57">
        <v>6647898.1899999995</v>
      </c>
      <c r="H18" s="57">
        <v>0</v>
      </c>
      <c r="I18" s="58">
        <v>114389569.74000001</v>
      </c>
    </row>
    <row r="19" spans="1:9" ht="14.4" x14ac:dyDescent="0.3">
      <c r="A19" s="56" t="s">
        <v>14</v>
      </c>
      <c r="B19" s="57">
        <f t="shared" ref="B19:I19" si="2">SUM(B20:B22)</f>
        <v>1068913.54</v>
      </c>
      <c r="C19" s="57">
        <f t="shared" si="2"/>
        <v>0</v>
      </c>
      <c r="D19" s="57">
        <f t="shared" si="2"/>
        <v>6723559.1799999997</v>
      </c>
      <c r="E19" s="57">
        <f t="shared" si="2"/>
        <v>354017.5</v>
      </c>
      <c r="F19" s="57">
        <f t="shared" si="2"/>
        <v>33270.980000000003</v>
      </c>
      <c r="G19" s="57">
        <f t="shared" si="2"/>
        <v>565790.98</v>
      </c>
      <c r="H19" s="57">
        <f t="shared" si="2"/>
        <v>0</v>
      </c>
      <c r="I19" s="58">
        <f t="shared" si="2"/>
        <v>8745552.1799999997</v>
      </c>
    </row>
    <row r="20" spans="1:9" ht="14.4" x14ac:dyDescent="0.3">
      <c r="A20" s="59" t="s">
        <v>21</v>
      </c>
      <c r="B20" s="61">
        <v>1068913.54</v>
      </c>
      <c r="C20" s="61">
        <v>0</v>
      </c>
      <c r="D20" s="61">
        <f>6722381.26+1177.92</f>
        <v>6723559.1799999997</v>
      </c>
      <c r="E20" s="61">
        <v>354017.5</v>
      </c>
      <c r="F20" s="61">
        <v>33270.980000000003</v>
      </c>
      <c r="G20" s="61">
        <f>297250.12+268540.86-4179.6</f>
        <v>561611.38</v>
      </c>
      <c r="H20" s="60">
        <v>0</v>
      </c>
      <c r="I20" s="62">
        <f>B20+SUM(D20:H20)</f>
        <v>8741372.5800000001</v>
      </c>
    </row>
    <row r="21" spans="1:9" ht="14.4" x14ac:dyDescent="0.3">
      <c r="A21" s="59" t="s">
        <v>16</v>
      </c>
      <c r="B21" s="60">
        <v>0</v>
      </c>
      <c r="C21" s="60">
        <v>0</v>
      </c>
      <c r="D21" s="61">
        <v>0</v>
      </c>
      <c r="E21" s="61">
        <v>0</v>
      </c>
      <c r="F21" s="60">
        <v>0</v>
      </c>
      <c r="G21" s="61">
        <v>4179.6000000000004</v>
      </c>
      <c r="H21" s="60">
        <v>0</v>
      </c>
      <c r="I21" s="62">
        <f>B21+SUM(D21:H21)</f>
        <v>4179.6000000000004</v>
      </c>
    </row>
    <row r="22" spans="1:9" ht="14.4" x14ac:dyDescent="0.3">
      <c r="A22" s="59" t="s">
        <v>17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2">
        <v>0</v>
      </c>
    </row>
    <row r="23" spans="1:9" ht="14.4" x14ac:dyDescent="0.3">
      <c r="A23" s="56" t="s">
        <v>18</v>
      </c>
      <c r="B23" s="57">
        <f t="shared" ref="B23:I23" si="3">SUM(B24:B25)</f>
        <v>0</v>
      </c>
      <c r="C23" s="57">
        <f t="shared" si="3"/>
        <v>0</v>
      </c>
      <c r="D23" s="57">
        <f t="shared" si="3"/>
        <v>728394.87</v>
      </c>
      <c r="E23" s="57">
        <f t="shared" si="3"/>
        <v>100249.85999999999</v>
      </c>
      <c r="F23" s="57">
        <f t="shared" si="3"/>
        <v>0</v>
      </c>
      <c r="G23" s="57">
        <f t="shared" si="3"/>
        <v>266526.16000000003</v>
      </c>
      <c r="H23" s="57">
        <f t="shared" si="3"/>
        <v>0</v>
      </c>
      <c r="I23" s="58">
        <f t="shared" si="3"/>
        <v>1095170.8900000001</v>
      </c>
    </row>
    <row r="24" spans="1:9" ht="14.4" x14ac:dyDescent="0.3">
      <c r="A24" s="59" t="s">
        <v>19</v>
      </c>
      <c r="B24" s="60">
        <v>0</v>
      </c>
      <c r="C24" s="60">
        <v>0</v>
      </c>
      <c r="D24" s="61">
        <v>728394.87</v>
      </c>
      <c r="E24" s="61">
        <f>45457.2+54679.54+113.12</f>
        <v>100249.85999999999</v>
      </c>
      <c r="F24" s="61">
        <v>0</v>
      </c>
      <c r="G24" s="61">
        <f>120349.78+146176.38</f>
        <v>266526.16000000003</v>
      </c>
      <c r="H24" s="60">
        <v>0</v>
      </c>
      <c r="I24" s="62">
        <f>B24+SUM(D24:H24)</f>
        <v>1095170.8900000001</v>
      </c>
    </row>
    <row r="25" spans="1:9" ht="14.4" x14ac:dyDescent="0.3">
      <c r="A25" s="59" t="s">
        <v>16</v>
      </c>
      <c r="B25" s="61">
        <v>0</v>
      </c>
      <c r="C25" s="60">
        <v>0</v>
      </c>
      <c r="D25" s="61">
        <v>0</v>
      </c>
      <c r="E25" s="61">
        <v>0</v>
      </c>
      <c r="F25" s="60">
        <v>0</v>
      </c>
      <c r="G25" s="61">
        <v>0</v>
      </c>
      <c r="H25" s="61">
        <v>0</v>
      </c>
      <c r="I25" s="62">
        <f>B25+SUM(D25:H25)</f>
        <v>0</v>
      </c>
    </row>
    <row r="26" spans="1:9" ht="14.4" x14ac:dyDescent="0.3">
      <c r="A26" s="56" t="s">
        <v>44</v>
      </c>
      <c r="B26" s="57">
        <f t="shared" ref="B26:I26" si="4">B18+B19-B23</f>
        <v>16559098.050000001</v>
      </c>
      <c r="C26" s="57">
        <f t="shared" si="4"/>
        <v>0</v>
      </c>
      <c r="D26" s="57">
        <f t="shared" si="4"/>
        <v>94703059.299999982</v>
      </c>
      <c r="E26" s="57">
        <f t="shared" si="4"/>
        <v>3587116.14</v>
      </c>
      <c r="F26" s="57">
        <f t="shared" si="4"/>
        <v>243514.53000000003</v>
      </c>
      <c r="G26" s="57">
        <f t="shared" si="4"/>
        <v>6947163.0099999998</v>
      </c>
      <c r="H26" s="57">
        <f t="shared" si="4"/>
        <v>0</v>
      </c>
      <c r="I26" s="58">
        <f t="shared" si="4"/>
        <v>122039951.03000002</v>
      </c>
    </row>
    <row r="27" spans="1:9" ht="14.4" x14ac:dyDescent="0.3">
      <c r="A27" s="225" t="s">
        <v>22</v>
      </c>
      <c r="B27" s="226"/>
      <c r="C27" s="226"/>
      <c r="D27" s="226"/>
      <c r="E27" s="226"/>
      <c r="F27" s="226"/>
      <c r="G27" s="226"/>
      <c r="H27" s="226"/>
      <c r="I27" s="227"/>
    </row>
    <row r="28" spans="1:9" ht="14.4" x14ac:dyDescent="0.3">
      <c r="A28" s="56" t="s">
        <v>43</v>
      </c>
      <c r="B28" s="57">
        <v>61025.479999999996</v>
      </c>
      <c r="C28" s="57">
        <v>61025.479999999996</v>
      </c>
      <c r="D28" s="57">
        <v>0</v>
      </c>
      <c r="E28" s="57">
        <v>0</v>
      </c>
      <c r="F28" s="57">
        <v>0</v>
      </c>
      <c r="G28" s="57">
        <v>0</v>
      </c>
      <c r="H28" s="57">
        <v>2149552.4699999997</v>
      </c>
      <c r="I28" s="58">
        <v>2210577.9499999997</v>
      </c>
    </row>
    <row r="29" spans="1:9" ht="14.4" x14ac:dyDescent="0.3">
      <c r="A29" s="252" t="s">
        <v>23</v>
      </c>
      <c r="B29" s="63">
        <v>3800</v>
      </c>
      <c r="C29" s="63">
        <v>3800</v>
      </c>
      <c r="D29" s="63">
        <v>0</v>
      </c>
      <c r="E29" s="63">
        <v>0</v>
      </c>
      <c r="F29" s="63">
        <v>0</v>
      </c>
      <c r="G29" s="63">
        <v>0</v>
      </c>
      <c r="H29" s="64">
        <v>0</v>
      </c>
      <c r="I29" s="253">
        <f>B29+SUM(D29:H29)</f>
        <v>3800</v>
      </c>
    </row>
    <row r="30" spans="1:9" ht="14.4" x14ac:dyDescent="0.3">
      <c r="A30" s="258" t="s">
        <v>24</v>
      </c>
      <c r="B30" s="254">
        <v>0</v>
      </c>
      <c r="C30" s="254">
        <v>0</v>
      </c>
      <c r="D30" s="254">
        <v>0</v>
      </c>
      <c r="E30" s="254">
        <v>0</v>
      </c>
      <c r="F30" s="254">
        <v>0</v>
      </c>
      <c r="G30" s="254">
        <v>0</v>
      </c>
      <c r="H30" s="255">
        <v>0</v>
      </c>
      <c r="I30" s="259">
        <f>B30+SUM(D30:H30)</f>
        <v>0</v>
      </c>
    </row>
    <row r="31" spans="1:9" ht="14.4" x14ac:dyDescent="0.3">
      <c r="A31" s="256" t="s">
        <v>44</v>
      </c>
      <c r="B31" s="65">
        <f t="shared" ref="B31:I31" si="5">B28+B29-B30</f>
        <v>64825.479999999996</v>
      </c>
      <c r="C31" s="65">
        <f t="shared" si="5"/>
        <v>64825.479999999996</v>
      </c>
      <c r="D31" s="65">
        <f t="shared" si="5"/>
        <v>0</v>
      </c>
      <c r="E31" s="65">
        <f t="shared" si="5"/>
        <v>0</v>
      </c>
      <c r="F31" s="65">
        <f t="shared" si="5"/>
        <v>0</v>
      </c>
      <c r="G31" s="65">
        <f t="shared" si="5"/>
        <v>0</v>
      </c>
      <c r="H31" s="65">
        <f t="shared" si="5"/>
        <v>2149552.4699999997</v>
      </c>
      <c r="I31" s="257">
        <f t="shared" si="5"/>
        <v>2214377.9499999997</v>
      </c>
    </row>
    <row r="32" spans="1:9" ht="14.4" x14ac:dyDescent="0.3">
      <c r="A32" s="222" t="s">
        <v>25</v>
      </c>
      <c r="B32" s="223"/>
      <c r="C32" s="223"/>
      <c r="D32" s="223"/>
      <c r="E32" s="223"/>
      <c r="F32" s="223"/>
      <c r="G32" s="223"/>
      <c r="H32" s="223"/>
      <c r="I32" s="224"/>
    </row>
    <row r="33" spans="1:9" ht="14.4" x14ac:dyDescent="0.3">
      <c r="A33" s="66" t="s">
        <v>43</v>
      </c>
      <c r="B33" s="67">
        <f t="shared" ref="B33:I33" si="6">B8-B18-B28</f>
        <v>280758691.66999996</v>
      </c>
      <c r="C33" s="67">
        <f t="shared" si="6"/>
        <v>281606.01</v>
      </c>
      <c r="D33" s="67">
        <f t="shared" si="6"/>
        <v>135083231.74000001</v>
      </c>
      <c r="E33" s="67">
        <f t="shared" si="6"/>
        <v>3189027.9399999995</v>
      </c>
      <c r="F33" s="67">
        <f t="shared" si="6"/>
        <v>87040.859999999957</v>
      </c>
      <c r="G33" s="67">
        <f t="shared" si="6"/>
        <v>1012058.040000001</v>
      </c>
      <c r="H33" s="67">
        <f t="shared" si="6"/>
        <v>39709981.889999993</v>
      </c>
      <c r="I33" s="68">
        <f t="shared" si="6"/>
        <v>459840032.14000005</v>
      </c>
    </row>
    <row r="34" spans="1:9" ht="14.4" x14ac:dyDescent="0.3">
      <c r="A34" s="307" t="s">
        <v>44</v>
      </c>
      <c r="B34" s="308">
        <f t="shared" ref="B34:I34" si="7">B16-B26-B31</f>
        <v>299453868.01999992</v>
      </c>
      <c r="C34" s="308">
        <f t="shared" si="7"/>
        <v>2657089.1100000003</v>
      </c>
      <c r="D34" s="308">
        <f t="shared" si="7"/>
        <v>130520197.62000003</v>
      </c>
      <c r="E34" s="308">
        <f t="shared" si="7"/>
        <v>3066550.7199999993</v>
      </c>
      <c r="F34" s="308">
        <f t="shared" si="7"/>
        <v>53769.879999999946</v>
      </c>
      <c r="G34" s="308">
        <f t="shared" si="7"/>
        <v>752151.92000000086</v>
      </c>
      <c r="H34" s="308">
        <f t="shared" si="7"/>
        <v>47415126.559999995</v>
      </c>
      <c r="I34" s="309">
        <f t="shared" si="7"/>
        <v>481261664.72000003</v>
      </c>
    </row>
    <row r="35" spans="1:9" x14ac:dyDescent="0.3">
      <c r="A35" s="9"/>
      <c r="B35" s="10"/>
      <c r="C35" s="10"/>
      <c r="D35" s="10"/>
      <c r="E35" s="10"/>
      <c r="F35" s="10"/>
      <c r="G35" s="10"/>
      <c r="H35" s="10"/>
      <c r="I35" s="10"/>
    </row>
    <row r="36" spans="1:9" ht="14.4" x14ac:dyDescent="0.3">
      <c r="A36" s="701" t="s">
        <v>26</v>
      </c>
      <c r="B36" s="11"/>
    </row>
    <row r="37" spans="1:9" x14ac:dyDescent="0.3">
      <c r="A37" s="12"/>
      <c r="B37" s="12"/>
    </row>
    <row r="38" spans="1:9" ht="56.25" customHeight="1" x14ac:dyDescent="0.3">
      <c r="A38" s="325" t="s">
        <v>27</v>
      </c>
      <c r="B38" s="325" t="s">
        <v>28</v>
      </c>
    </row>
    <row r="39" spans="1:9" ht="14.4" x14ac:dyDescent="0.3">
      <c r="A39" s="220" t="s">
        <v>13</v>
      </c>
      <c r="B39" s="316"/>
    </row>
    <row r="40" spans="1:9" ht="14.4" x14ac:dyDescent="0.3">
      <c r="A40" s="221" t="s">
        <v>43</v>
      </c>
      <c r="B40" s="317">
        <v>561181.39</v>
      </c>
    </row>
    <row r="41" spans="1:9" ht="14.4" x14ac:dyDescent="0.3">
      <c r="A41" s="228" t="s">
        <v>14</v>
      </c>
      <c r="B41" s="318">
        <f>SUM(B42:B43)</f>
        <v>0</v>
      </c>
    </row>
    <row r="42" spans="1:9" ht="14.4" x14ac:dyDescent="0.3">
      <c r="A42" s="229" t="s">
        <v>15</v>
      </c>
      <c r="B42" s="319">
        <v>0</v>
      </c>
    </row>
    <row r="43" spans="1:9" ht="14.4" x14ac:dyDescent="0.3">
      <c r="A43" s="229" t="s">
        <v>16</v>
      </c>
      <c r="B43" s="319">
        <v>0</v>
      </c>
    </row>
    <row r="44" spans="1:9" ht="14.4" x14ac:dyDescent="0.3">
      <c r="A44" s="228" t="s">
        <v>18</v>
      </c>
      <c r="B44" s="318">
        <f>SUM(B45:B46)</f>
        <v>0</v>
      </c>
    </row>
    <row r="45" spans="1:9" ht="14.4" x14ac:dyDescent="0.3">
      <c r="A45" s="229" t="s">
        <v>19</v>
      </c>
      <c r="B45" s="319">
        <v>0</v>
      </c>
    </row>
    <row r="46" spans="1:9" ht="14.4" x14ac:dyDescent="0.3">
      <c r="A46" s="229" t="s">
        <v>16</v>
      </c>
      <c r="B46" s="319">
        <v>0</v>
      </c>
    </row>
    <row r="47" spans="1:9" ht="14.4" x14ac:dyDescent="0.3">
      <c r="A47" s="228" t="s">
        <v>44</v>
      </c>
      <c r="B47" s="318">
        <f>B40+B41-B44</f>
        <v>561181.39</v>
      </c>
    </row>
    <row r="48" spans="1:9" ht="14.4" x14ac:dyDescent="0.3">
      <c r="A48" s="220" t="s">
        <v>20</v>
      </c>
      <c r="B48" s="316"/>
    </row>
    <row r="49" spans="1:2" ht="14.4" x14ac:dyDescent="0.3">
      <c r="A49" s="221" t="s">
        <v>43</v>
      </c>
      <c r="B49" s="317">
        <v>493856.73</v>
      </c>
    </row>
    <row r="50" spans="1:2" ht="14.4" x14ac:dyDescent="0.3">
      <c r="A50" s="228" t="s">
        <v>14</v>
      </c>
      <c r="B50" s="318">
        <f>SUM(B51:B52)</f>
        <v>33662.33</v>
      </c>
    </row>
    <row r="51" spans="1:2" ht="14.4" x14ac:dyDescent="0.3">
      <c r="A51" s="229" t="s">
        <v>21</v>
      </c>
      <c r="B51" s="319">
        <v>33662.33</v>
      </c>
    </row>
    <row r="52" spans="1:2" ht="14.4" x14ac:dyDescent="0.3">
      <c r="A52" s="229" t="s">
        <v>16</v>
      </c>
      <c r="B52" s="320">
        <v>0</v>
      </c>
    </row>
    <row r="53" spans="1:2" ht="14.4" x14ac:dyDescent="0.3">
      <c r="A53" s="228" t="s">
        <v>18</v>
      </c>
      <c r="B53" s="318">
        <f>SUM(B54:B55)</f>
        <v>0</v>
      </c>
    </row>
    <row r="54" spans="1:2" ht="14.4" x14ac:dyDescent="0.3">
      <c r="A54" s="229" t="s">
        <v>19</v>
      </c>
      <c r="B54" s="319">
        <v>0</v>
      </c>
    </row>
    <row r="55" spans="1:2" ht="14.4" x14ac:dyDescent="0.3">
      <c r="A55" s="230" t="s">
        <v>16</v>
      </c>
      <c r="B55" s="321">
        <v>0</v>
      </c>
    </row>
    <row r="56" spans="1:2" ht="14.4" x14ac:dyDescent="0.3">
      <c r="A56" s="231" t="s">
        <v>44</v>
      </c>
      <c r="B56" s="322">
        <f>B49+B50-B53</f>
        <v>527519.05999999994</v>
      </c>
    </row>
    <row r="57" spans="1:2" ht="14.4" x14ac:dyDescent="0.3">
      <c r="A57" s="232" t="s">
        <v>22</v>
      </c>
      <c r="B57" s="316"/>
    </row>
    <row r="58" spans="1:2" ht="14.4" x14ac:dyDescent="0.3">
      <c r="A58" s="221" t="s">
        <v>43</v>
      </c>
      <c r="B58" s="317"/>
    </row>
    <row r="59" spans="1:2" ht="14.4" x14ac:dyDescent="0.3">
      <c r="A59" s="247" t="s">
        <v>23</v>
      </c>
      <c r="B59" s="323">
        <v>0</v>
      </c>
    </row>
    <row r="60" spans="1:2" ht="14.4" x14ac:dyDescent="0.3">
      <c r="A60" s="247" t="s">
        <v>24</v>
      </c>
      <c r="B60" s="323">
        <v>0</v>
      </c>
    </row>
    <row r="61" spans="1:2" ht="14.4" x14ac:dyDescent="0.3">
      <c r="A61" s="246" t="s">
        <v>44</v>
      </c>
      <c r="B61" s="324">
        <f>B58+B59-B60</f>
        <v>0</v>
      </c>
    </row>
    <row r="62" spans="1:2" ht="14.4" x14ac:dyDescent="0.3">
      <c r="A62" s="220" t="s">
        <v>25</v>
      </c>
      <c r="B62" s="316"/>
    </row>
    <row r="63" spans="1:2" ht="14.4" x14ac:dyDescent="0.3">
      <c r="A63" s="221" t="s">
        <v>93</v>
      </c>
      <c r="B63" s="317">
        <f>B40-B49-B58</f>
        <v>67324.660000000033</v>
      </c>
    </row>
    <row r="64" spans="1:2" ht="14.4" x14ac:dyDescent="0.3">
      <c r="A64" s="326" t="s">
        <v>44</v>
      </c>
      <c r="B64" s="327">
        <f>B47-B56-B61</f>
        <v>33662.330000000075</v>
      </c>
    </row>
    <row r="70" spans="1:5" ht="14.4" x14ac:dyDescent="0.3">
      <c r="A70" s="704" t="s">
        <v>29</v>
      </c>
      <c r="B70" s="666"/>
      <c r="C70" s="666"/>
      <c r="D70" s="666"/>
      <c r="E70" s="666"/>
    </row>
    <row r="71" spans="1:5" ht="14.4" x14ac:dyDescent="0.3">
      <c r="A71" s="726" t="s">
        <v>387</v>
      </c>
      <c r="B71" s="727"/>
      <c r="C71" s="727"/>
      <c r="D71" s="13"/>
      <c r="E71" s="13"/>
    </row>
    <row r="72" spans="1:5" ht="222.75" customHeight="1" thickBot="1" x14ac:dyDescent="0.35">
      <c r="A72" s="340" t="s">
        <v>30</v>
      </c>
      <c r="B72" s="341" t="s">
        <v>31</v>
      </c>
      <c r="C72" s="341" t="s">
        <v>32</v>
      </c>
      <c r="D72" s="341" t="s">
        <v>33</v>
      </c>
      <c r="E72" s="342" t="s">
        <v>34</v>
      </c>
    </row>
    <row r="73" spans="1:5" ht="15" thickBot="1" x14ac:dyDescent="0.35">
      <c r="A73" s="328" t="s">
        <v>13</v>
      </c>
      <c r="B73" s="69"/>
      <c r="C73" s="69"/>
      <c r="D73" s="69"/>
      <c r="E73" s="335"/>
    </row>
    <row r="74" spans="1:5" ht="14.4" x14ac:dyDescent="0.3">
      <c r="A74" s="329" t="s">
        <v>422</v>
      </c>
      <c r="B74" s="70"/>
      <c r="C74" s="70"/>
      <c r="D74" s="70"/>
      <c r="E74" s="336">
        <f>B74+C74+D74</f>
        <v>0</v>
      </c>
    </row>
    <row r="75" spans="1:5" ht="14.4" x14ac:dyDescent="0.3">
      <c r="A75" s="330" t="s">
        <v>23</v>
      </c>
      <c r="B75" s="71">
        <f>SUM(B76:B77)</f>
        <v>0</v>
      </c>
      <c r="C75" s="71">
        <f>SUM(C76:C77)</f>
        <v>0</v>
      </c>
      <c r="D75" s="71">
        <f>SUM(D76:D77)</f>
        <v>0</v>
      </c>
      <c r="E75" s="337">
        <f>SUM(E76:E77)</f>
        <v>0</v>
      </c>
    </row>
    <row r="76" spans="1:5" ht="14.4" x14ac:dyDescent="0.3">
      <c r="A76" s="331" t="s">
        <v>35</v>
      </c>
      <c r="B76" s="72"/>
      <c r="C76" s="72"/>
      <c r="D76" s="72"/>
      <c r="E76" s="338">
        <f>B76+C76+D76</f>
        <v>0</v>
      </c>
    </row>
    <row r="77" spans="1:5" ht="14.4" x14ac:dyDescent="0.3">
      <c r="A77" s="331" t="s">
        <v>36</v>
      </c>
      <c r="B77" s="72"/>
      <c r="C77" s="72"/>
      <c r="D77" s="72"/>
      <c r="E77" s="338">
        <f>B77+C77+D77</f>
        <v>0</v>
      </c>
    </row>
    <row r="78" spans="1:5" ht="14.4" x14ac:dyDescent="0.3">
      <c r="A78" s="330" t="s">
        <v>24</v>
      </c>
      <c r="B78" s="71">
        <f>SUM(B79:B81)</f>
        <v>0</v>
      </c>
      <c r="C78" s="71">
        <f>SUM(C79:C81)</f>
        <v>0</v>
      </c>
      <c r="D78" s="71">
        <f>SUM(D79:D81)</f>
        <v>0</v>
      </c>
      <c r="E78" s="337">
        <f>SUM(E79:E81)</f>
        <v>0</v>
      </c>
    </row>
    <row r="79" spans="1:5" ht="14.4" x14ac:dyDescent="0.3">
      <c r="A79" s="331" t="s">
        <v>37</v>
      </c>
      <c r="B79" s="72"/>
      <c r="C79" s="72"/>
      <c r="D79" s="72"/>
      <c r="E79" s="338">
        <f>B79+C79+D79</f>
        <v>0</v>
      </c>
    </row>
    <row r="80" spans="1:5" ht="14.4" x14ac:dyDescent="0.3">
      <c r="A80" s="331" t="s">
        <v>38</v>
      </c>
      <c r="B80" s="72"/>
      <c r="C80" s="72"/>
      <c r="D80" s="72"/>
      <c r="E80" s="338">
        <f>B80+C80+D80</f>
        <v>0</v>
      </c>
    </row>
    <row r="81" spans="1:5" ht="14.4" x14ac:dyDescent="0.3">
      <c r="A81" s="332" t="s">
        <v>39</v>
      </c>
      <c r="B81" s="72"/>
      <c r="C81" s="72"/>
      <c r="D81" s="72"/>
      <c r="E81" s="338">
        <f>B81+C81+D81</f>
        <v>0</v>
      </c>
    </row>
    <row r="82" spans="1:5" ht="15" thickBot="1" x14ac:dyDescent="0.35">
      <c r="A82" s="333" t="s">
        <v>423</v>
      </c>
      <c r="B82" s="73">
        <f>B74+B75-B78</f>
        <v>0</v>
      </c>
      <c r="C82" s="73">
        <f>C74+C75-C78</f>
        <v>0</v>
      </c>
      <c r="D82" s="73">
        <f>D74+D75-D78</f>
        <v>0</v>
      </c>
      <c r="E82" s="339">
        <f>E74+E75-E78</f>
        <v>0</v>
      </c>
    </row>
    <row r="83" spans="1:5" ht="15" thickBot="1" x14ac:dyDescent="0.35">
      <c r="A83" s="334" t="s">
        <v>40</v>
      </c>
      <c r="B83" s="74"/>
      <c r="C83" s="74"/>
      <c r="D83" s="74"/>
      <c r="E83" s="74"/>
    </row>
    <row r="84" spans="1:5" ht="14.4" x14ac:dyDescent="0.3">
      <c r="A84" s="329" t="s">
        <v>424</v>
      </c>
      <c r="B84" s="70"/>
      <c r="C84" s="70"/>
      <c r="D84" s="70"/>
      <c r="E84" s="336">
        <f>B84+C84+D84</f>
        <v>0</v>
      </c>
    </row>
    <row r="85" spans="1:5" ht="14.4" x14ac:dyDescent="0.3">
      <c r="A85" s="330" t="s">
        <v>23</v>
      </c>
      <c r="B85" s="75"/>
      <c r="C85" s="75"/>
      <c r="D85" s="75"/>
      <c r="E85" s="337">
        <f>SUM(B85:D85)</f>
        <v>0</v>
      </c>
    </row>
    <row r="86" spans="1:5" ht="14.4" x14ac:dyDescent="0.3">
      <c r="A86" s="330" t="s">
        <v>24</v>
      </c>
      <c r="B86" s="75"/>
      <c r="C86" s="75"/>
      <c r="D86" s="75"/>
      <c r="E86" s="337">
        <f>SUM(B86:D86)</f>
        <v>0</v>
      </c>
    </row>
    <row r="87" spans="1:5" ht="15" thickBot="1" x14ac:dyDescent="0.35">
      <c r="A87" s="343" t="s">
        <v>425</v>
      </c>
      <c r="B87" s="344">
        <f>B84+B85-B86</f>
        <v>0</v>
      </c>
      <c r="C87" s="344">
        <f>C84+C85-C86</f>
        <v>0</v>
      </c>
      <c r="D87" s="344">
        <f>D84+D85-D86</f>
        <v>0</v>
      </c>
      <c r="E87" s="345">
        <f>E84+E85-E86</f>
        <v>0</v>
      </c>
    </row>
    <row r="88" spans="1:5" ht="15" thickBot="1" x14ac:dyDescent="0.35">
      <c r="A88" s="697" t="s">
        <v>25</v>
      </c>
      <c r="B88" s="698"/>
      <c r="C88" s="698"/>
      <c r="D88" s="698"/>
      <c r="E88" s="699"/>
    </row>
    <row r="89" spans="1:5" ht="14.4" x14ac:dyDescent="0.3">
      <c r="A89" s="675" t="s">
        <v>43</v>
      </c>
      <c r="B89" s="676">
        <f>B74-B84</f>
        <v>0</v>
      </c>
      <c r="C89" s="676">
        <f>C74-C84</f>
        <v>0</v>
      </c>
      <c r="D89" s="676">
        <f>D74-D84</f>
        <v>0</v>
      </c>
      <c r="E89" s="676">
        <f>E74-E84</f>
        <v>0</v>
      </c>
    </row>
    <row r="90" spans="1:5" ht="14.4" x14ac:dyDescent="0.3">
      <c r="A90" s="702" t="s">
        <v>44</v>
      </c>
      <c r="B90" s="703">
        <f>B82-B87</f>
        <v>0</v>
      </c>
      <c r="C90" s="703">
        <f>C82-C87</f>
        <v>0</v>
      </c>
      <c r="D90" s="703">
        <f>D82-D87</f>
        <v>0</v>
      </c>
      <c r="E90" s="703">
        <f>E82-E87</f>
        <v>0</v>
      </c>
    </row>
    <row r="94" spans="1:5" ht="48" customHeight="1" x14ac:dyDescent="0.3">
      <c r="A94" s="700" t="s">
        <v>41</v>
      </c>
      <c r="B94" s="649"/>
      <c r="C94" s="649"/>
    </row>
    <row r="95" spans="1:5" ht="14.4" x14ac:dyDescent="0.3">
      <c r="A95" s="651" t="s">
        <v>387</v>
      </c>
      <c r="B95" s="50"/>
      <c r="C95" s="50"/>
    </row>
    <row r="96" spans="1:5" ht="28.8" x14ac:dyDescent="0.3">
      <c r="A96" s="348" t="s">
        <v>42</v>
      </c>
      <c r="B96" s="349" t="s">
        <v>43</v>
      </c>
      <c r="C96" s="349" t="s">
        <v>44</v>
      </c>
      <c r="D96" s="350" t="s">
        <v>45</v>
      </c>
    </row>
    <row r="97" spans="1:9" ht="14.4" x14ac:dyDescent="0.3">
      <c r="A97" s="234" t="s">
        <v>46</v>
      </c>
      <c r="B97" s="76"/>
      <c r="C97" s="76"/>
      <c r="D97" s="346"/>
    </row>
    <row r="98" spans="1:9" ht="14.4" x14ac:dyDescent="0.3">
      <c r="A98" s="233" t="s">
        <v>47</v>
      </c>
      <c r="B98" s="77"/>
      <c r="C98" s="77"/>
      <c r="D98" s="347"/>
    </row>
    <row r="99" spans="1:9" ht="14.4" x14ac:dyDescent="0.3">
      <c r="A99" s="351" t="s">
        <v>48</v>
      </c>
      <c r="B99" s="352"/>
      <c r="C99" s="353"/>
      <c r="D99" s="354"/>
    </row>
    <row r="102" spans="1:9" ht="28.5" customHeight="1" x14ac:dyDescent="0.3">
      <c r="A102" s="700" t="s">
        <v>49</v>
      </c>
      <c r="B102" s="649"/>
      <c r="C102" s="649"/>
      <c r="D102" s="646"/>
      <c r="E102" s="646"/>
      <c r="F102" s="646"/>
      <c r="G102" s="646"/>
    </row>
    <row r="103" spans="1:9" x14ac:dyDescent="0.25">
      <c r="A103" s="667"/>
      <c r="B103" s="668"/>
      <c r="C103" s="668"/>
    </row>
    <row r="104" spans="1:9" ht="50.25" customHeight="1" x14ac:dyDescent="0.3">
      <c r="A104" s="361" t="s">
        <v>397</v>
      </c>
      <c r="B104" s="362" t="s">
        <v>50</v>
      </c>
      <c r="C104" s="362" t="s">
        <v>404</v>
      </c>
      <c r="D104" s="362" t="s">
        <v>405</v>
      </c>
      <c r="E104" s="362" t="s">
        <v>406</v>
      </c>
      <c r="F104" s="362" t="s">
        <v>407</v>
      </c>
      <c r="G104" s="362" t="s">
        <v>51</v>
      </c>
      <c r="H104" s="362" t="s">
        <v>408</v>
      </c>
      <c r="I104" s="362" t="s">
        <v>409</v>
      </c>
    </row>
    <row r="105" spans="1:9" ht="57.6" x14ac:dyDescent="0.3">
      <c r="A105" s="355"/>
      <c r="B105" s="78" t="s">
        <v>52</v>
      </c>
      <c r="C105" s="79" t="s">
        <v>53</v>
      </c>
      <c r="D105" s="79" t="s">
        <v>54</v>
      </c>
      <c r="E105" s="79" t="s">
        <v>55</v>
      </c>
      <c r="F105" s="80" t="s">
        <v>56</v>
      </c>
      <c r="G105" s="81" t="s">
        <v>57</v>
      </c>
      <c r="H105" s="82" t="s">
        <v>58</v>
      </c>
      <c r="I105" s="357" t="s">
        <v>59</v>
      </c>
    </row>
    <row r="106" spans="1:9" ht="14.4" x14ac:dyDescent="0.3">
      <c r="A106" s="356" t="s">
        <v>43</v>
      </c>
      <c r="B106" s="83">
        <v>0</v>
      </c>
      <c r="C106" s="84">
        <v>2210577.9499999997</v>
      </c>
      <c r="D106" s="84">
        <v>0</v>
      </c>
      <c r="E106" s="85">
        <v>0</v>
      </c>
      <c r="F106" s="86">
        <v>0</v>
      </c>
      <c r="G106" s="87">
        <v>0</v>
      </c>
      <c r="H106" s="84">
        <v>0</v>
      </c>
      <c r="I106" s="358">
        <v>0</v>
      </c>
    </row>
    <row r="107" spans="1:9" ht="28.8" x14ac:dyDescent="0.3">
      <c r="A107" s="630" t="s">
        <v>60</v>
      </c>
      <c r="B107" s="88">
        <v>0</v>
      </c>
      <c r="C107" s="717">
        <v>3800</v>
      </c>
      <c r="D107" s="89">
        <v>0</v>
      </c>
      <c r="E107" s="85">
        <v>0</v>
      </c>
      <c r="F107" s="86">
        <v>0</v>
      </c>
      <c r="G107" s="87">
        <v>0</v>
      </c>
      <c r="H107" s="89">
        <v>0</v>
      </c>
      <c r="I107" s="359">
        <v>0</v>
      </c>
    </row>
    <row r="108" spans="1:9" ht="29.4" thickBot="1" x14ac:dyDescent="0.35">
      <c r="A108" s="629" t="s">
        <v>61</v>
      </c>
      <c r="B108" s="90">
        <v>0</v>
      </c>
      <c r="C108" s="91">
        <v>0</v>
      </c>
      <c r="D108" s="91">
        <v>0</v>
      </c>
      <c r="E108" s="92">
        <v>0</v>
      </c>
      <c r="F108" s="93">
        <v>0</v>
      </c>
      <c r="G108" s="94">
        <v>0</v>
      </c>
      <c r="H108" s="91">
        <v>0</v>
      </c>
      <c r="I108" s="360">
        <v>0</v>
      </c>
    </row>
    <row r="109" spans="1:9" ht="14.4" x14ac:dyDescent="0.3">
      <c r="A109" s="363" t="s">
        <v>44</v>
      </c>
      <c r="B109" s="364">
        <f t="shared" ref="B109:I109" si="8">B106+B107-B108</f>
        <v>0</v>
      </c>
      <c r="C109" s="365">
        <f t="shared" si="8"/>
        <v>2214377.9499999997</v>
      </c>
      <c r="D109" s="365">
        <f t="shared" si="8"/>
        <v>0</v>
      </c>
      <c r="E109" s="366">
        <f t="shared" si="8"/>
        <v>0</v>
      </c>
      <c r="F109" s="367">
        <f t="shared" si="8"/>
        <v>0</v>
      </c>
      <c r="G109" s="368">
        <f t="shared" si="8"/>
        <v>0</v>
      </c>
      <c r="H109" s="366">
        <f t="shared" si="8"/>
        <v>0</v>
      </c>
      <c r="I109" s="369">
        <f t="shared" si="8"/>
        <v>0</v>
      </c>
    </row>
    <row r="112" spans="1:9" ht="14.4" x14ac:dyDescent="0.3">
      <c r="A112" s="700" t="s">
        <v>62</v>
      </c>
      <c r="B112" s="649"/>
      <c r="C112" s="649"/>
    </row>
    <row r="113" spans="1:4" x14ac:dyDescent="0.25">
      <c r="A113" s="667"/>
      <c r="B113" s="668"/>
      <c r="C113" s="668"/>
    </row>
    <row r="114" spans="1:4" ht="28.8" x14ac:dyDescent="0.3">
      <c r="A114" s="370" t="s">
        <v>42</v>
      </c>
      <c r="B114" s="349" t="s">
        <v>43</v>
      </c>
      <c r="C114" s="350" t="s">
        <v>44</v>
      </c>
    </row>
    <row r="115" spans="1:4" ht="14.4" x14ac:dyDescent="0.3">
      <c r="A115" s="371" t="s">
        <v>63</v>
      </c>
      <c r="B115" s="372">
        <v>83622934.650000006</v>
      </c>
      <c r="C115" s="372">
        <v>100975598.66</v>
      </c>
    </row>
    <row r="117" spans="1:4" ht="50.25" customHeight="1" x14ac:dyDescent="0.3">
      <c r="A117" s="728" t="s">
        <v>64</v>
      </c>
      <c r="B117" s="729"/>
      <c r="C117" s="729"/>
      <c r="D117" s="730"/>
    </row>
    <row r="118" spans="1:4" ht="14.4" x14ac:dyDescent="0.3">
      <c r="A118" s="651"/>
      <c r="B118" s="50"/>
      <c r="C118" s="50"/>
    </row>
    <row r="119" spans="1:4" ht="28.8" x14ac:dyDescent="0.3">
      <c r="A119" s="378" t="s">
        <v>30</v>
      </c>
      <c r="B119" s="349" t="s">
        <v>43</v>
      </c>
      <c r="C119" s="350" t="s">
        <v>44</v>
      </c>
    </row>
    <row r="120" spans="1:4" ht="76.5" customHeight="1" x14ac:dyDescent="0.3">
      <c r="A120" s="373" t="s">
        <v>65</v>
      </c>
      <c r="B120" s="76">
        <f>SUM(B122:B126)</f>
        <v>55764.23</v>
      </c>
      <c r="C120" s="375">
        <f>SUM(C122:C126)</f>
        <v>60973.99</v>
      </c>
    </row>
    <row r="121" spans="1:4" ht="14.4" x14ac:dyDescent="0.3">
      <c r="A121" s="374" t="s">
        <v>47</v>
      </c>
      <c r="B121" s="95"/>
      <c r="C121" s="376"/>
    </row>
    <row r="122" spans="1:4" ht="14.4" x14ac:dyDescent="0.3">
      <c r="A122" s="631" t="s">
        <v>5</v>
      </c>
      <c r="B122" s="96"/>
      <c r="C122" s="377"/>
    </row>
    <row r="123" spans="1:4" ht="14.4" x14ac:dyDescent="0.3">
      <c r="A123" s="627" t="s">
        <v>7</v>
      </c>
      <c r="B123" s="61"/>
      <c r="C123" s="346"/>
    </row>
    <row r="124" spans="1:4" ht="14.4" x14ac:dyDescent="0.3">
      <c r="A124" s="627" t="s">
        <v>8</v>
      </c>
      <c r="B124" s="346">
        <v>55764.23</v>
      </c>
      <c r="C124" s="346">
        <v>60973.99</v>
      </c>
    </row>
    <row r="125" spans="1:4" ht="14.4" x14ac:dyDescent="0.3">
      <c r="A125" s="627" t="s">
        <v>9</v>
      </c>
      <c r="B125" s="61"/>
      <c r="C125" s="346"/>
    </row>
    <row r="126" spans="1:4" ht="14.4" x14ac:dyDescent="0.3">
      <c r="A126" s="628" t="s">
        <v>10</v>
      </c>
      <c r="B126" s="63"/>
      <c r="C126" s="379"/>
    </row>
    <row r="144" spans="1:9" ht="12.75" customHeight="1" x14ac:dyDescent="0.3">
      <c r="A144" s="663" t="s">
        <v>66</v>
      </c>
      <c r="B144" s="641"/>
      <c r="C144" s="641"/>
      <c r="D144" s="641"/>
      <c r="E144" s="641"/>
      <c r="F144" s="641"/>
      <c r="G144" s="641"/>
      <c r="H144" s="641"/>
      <c r="I144" s="641"/>
    </row>
    <row r="145" spans="1:9" ht="15.6" x14ac:dyDescent="0.3">
      <c r="A145" s="651" t="s">
        <v>387</v>
      </c>
      <c r="B145" s="50"/>
      <c r="C145" s="50"/>
      <c r="D145" s="15"/>
      <c r="E145" s="15" t="s">
        <v>67</v>
      </c>
      <c r="F145" s="16"/>
      <c r="G145" s="16"/>
      <c r="H145" s="16"/>
      <c r="I145" s="16"/>
    </row>
    <row r="146" spans="1:9" ht="89.25" customHeight="1" thickBot="1" x14ac:dyDescent="0.35">
      <c r="A146" s="493" t="s">
        <v>68</v>
      </c>
      <c r="B146" s="493" t="s">
        <v>447</v>
      </c>
      <c r="C146" s="381" t="s">
        <v>69</v>
      </c>
      <c r="D146" s="382" t="s">
        <v>70</v>
      </c>
      <c r="E146" s="381" t="s">
        <v>71</v>
      </c>
      <c r="F146" s="383" t="s">
        <v>72</v>
      </c>
      <c r="G146" s="381" t="s">
        <v>73</v>
      </c>
      <c r="H146" s="381" t="s">
        <v>428</v>
      </c>
      <c r="I146" s="382" t="s">
        <v>429</v>
      </c>
    </row>
    <row r="147" spans="1:9" ht="14.4" x14ac:dyDescent="0.3">
      <c r="A147" s="546" t="s">
        <v>44</v>
      </c>
      <c r="B147" s="237"/>
      <c r="C147" s="100"/>
      <c r="D147" s="101"/>
      <c r="E147" s="102"/>
      <c r="F147" s="101"/>
      <c r="G147" s="102"/>
      <c r="H147" s="102"/>
      <c r="I147" s="101"/>
    </row>
    <row r="148" spans="1:9" ht="14.4" x14ac:dyDescent="0.3">
      <c r="A148" s="547"/>
      <c r="B148" s="104" t="s">
        <v>76</v>
      </c>
      <c r="C148" s="103"/>
      <c r="D148" s="104"/>
      <c r="E148" s="105"/>
      <c r="F148" s="104"/>
      <c r="G148" s="105"/>
      <c r="H148" s="105"/>
      <c r="I148" s="104"/>
    </row>
    <row r="149" spans="1:9" ht="14.4" x14ac:dyDescent="0.3">
      <c r="A149" s="86" t="s">
        <v>77</v>
      </c>
      <c r="B149" s="107"/>
      <c r="C149" s="106"/>
      <c r="D149" s="107"/>
      <c r="E149" s="108"/>
      <c r="F149" s="107"/>
      <c r="G149" s="108"/>
      <c r="H149" s="108"/>
      <c r="I149" s="107"/>
    </row>
    <row r="150" spans="1:9" ht="14.4" x14ac:dyDescent="0.3">
      <c r="A150" s="86" t="s">
        <v>78</v>
      </c>
      <c r="B150" s="107"/>
      <c r="C150" s="106"/>
      <c r="D150" s="107"/>
      <c r="E150" s="108"/>
      <c r="F150" s="107"/>
      <c r="G150" s="108"/>
      <c r="H150" s="108"/>
      <c r="I150" s="107"/>
    </row>
    <row r="151" spans="1:9" ht="15" thickBot="1" x14ac:dyDescent="0.35">
      <c r="A151" s="548" t="s">
        <v>79</v>
      </c>
      <c r="B151" s="110"/>
      <c r="C151" s="109"/>
      <c r="D151" s="110"/>
      <c r="E151" s="111"/>
      <c r="F151" s="110"/>
      <c r="G151" s="111"/>
      <c r="H151" s="111"/>
      <c r="I151" s="110"/>
    </row>
    <row r="152" spans="1:9" ht="15" thickBot="1" x14ac:dyDescent="0.35">
      <c r="A152" s="264"/>
      <c r="B152" s="438" t="s">
        <v>80</v>
      </c>
      <c r="C152" s="112"/>
      <c r="D152" s="112"/>
      <c r="E152" s="112">
        <f>SUM(E149:E151)</f>
        <v>0</v>
      </c>
      <c r="F152" s="112">
        <f>SUM(F149:F151)</f>
        <v>0</v>
      </c>
      <c r="G152" s="112">
        <f>SUM(G149:G151)</f>
        <v>0</v>
      </c>
      <c r="H152" s="112"/>
      <c r="I152" s="151"/>
    </row>
    <row r="153" spans="1:9" ht="87.75" customHeight="1" thickBot="1" x14ac:dyDescent="0.35">
      <c r="A153" s="491" t="s">
        <v>68</v>
      </c>
      <c r="B153" s="493" t="s">
        <v>447</v>
      </c>
      <c r="C153" s="97" t="s">
        <v>69</v>
      </c>
      <c r="D153" s="98" t="s">
        <v>70</v>
      </c>
      <c r="E153" s="97" t="s">
        <v>71</v>
      </c>
      <c r="F153" s="99" t="s">
        <v>72</v>
      </c>
      <c r="G153" s="97" t="s">
        <v>73</v>
      </c>
      <c r="H153" s="97" t="s">
        <v>74</v>
      </c>
      <c r="I153" s="98" t="s">
        <v>75</v>
      </c>
    </row>
    <row r="154" spans="1:9" ht="14.4" x14ac:dyDescent="0.3">
      <c r="A154" s="546" t="s">
        <v>43</v>
      </c>
      <c r="B154" s="238"/>
      <c r="C154" s="113"/>
      <c r="D154" s="114"/>
      <c r="E154" s="115"/>
      <c r="F154" s="114"/>
      <c r="G154" s="115"/>
      <c r="H154" s="115"/>
      <c r="I154" s="114"/>
    </row>
    <row r="155" spans="1:9" ht="14.4" x14ac:dyDescent="0.3">
      <c r="A155" s="549"/>
      <c r="B155" s="114" t="s">
        <v>76</v>
      </c>
      <c r="C155" s="103"/>
      <c r="D155" s="104"/>
      <c r="E155" s="105"/>
      <c r="F155" s="104"/>
      <c r="G155" s="105"/>
      <c r="H155" s="105"/>
      <c r="I155" s="104"/>
    </row>
    <row r="156" spans="1:9" ht="14.4" x14ac:dyDescent="0.3">
      <c r="A156" s="86" t="s">
        <v>77</v>
      </c>
      <c r="B156" s="107"/>
      <c r="C156" s="106"/>
      <c r="D156" s="107"/>
      <c r="E156" s="108"/>
      <c r="F156" s="107"/>
      <c r="G156" s="108"/>
      <c r="H156" s="108"/>
      <c r="I156" s="107"/>
    </row>
    <row r="157" spans="1:9" ht="14.4" x14ac:dyDescent="0.3">
      <c r="A157" s="86" t="s">
        <v>78</v>
      </c>
      <c r="B157" s="107"/>
      <c r="C157" s="106"/>
      <c r="D157" s="107"/>
      <c r="E157" s="108"/>
      <c r="F157" s="107"/>
      <c r="G157" s="108"/>
      <c r="H157" s="108"/>
      <c r="I157" s="107"/>
    </row>
    <row r="158" spans="1:9" ht="15" thickBot="1" x14ac:dyDescent="0.35">
      <c r="A158" s="548" t="s">
        <v>79</v>
      </c>
      <c r="B158" s="110"/>
      <c r="C158" s="109"/>
      <c r="D158" s="110"/>
      <c r="E158" s="111"/>
      <c r="F158" s="110"/>
      <c r="G158" s="111"/>
      <c r="H158" s="111"/>
      <c r="I158" s="110"/>
    </row>
    <row r="159" spans="1:9" ht="14.4" x14ac:dyDescent="0.3">
      <c r="A159" s="550"/>
      <c r="B159" s="386" t="s">
        <v>80</v>
      </c>
      <c r="C159" s="385"/>
      <c r="D159" s="386"/>
      <c r="E159" s="385">
        <f>SUM(E156:E158)</f>
        <v>0</v>
      </c>
      <c r="F159" s="385">
        <f>SUM(F156:F158)</f>
        <v>0</v>
      </c>
      <c r="G159" s="385">
        <f>SUM(G156:G158)</f>
        <v>0</v>
      </c>
      <c r="H159" s="385"/>
      <c r="I159" s="386"/>
    </row>
    <row r="161" spans="1:9" ht="14.4" x14ac:dyDescent="0.3">
      <c r="A161" s="660" t="s">
        <v>81</v>
      </c>
      <c r="B161" s="661"/>
      <c r="C161" s="661"/>
      <c r="D161" s="661"/>
      <c r="E161" s="661"/>
      <c r="F161" s="661"/>
      <c r="G161" s="661"/>
      <c r="H161" s="661"/>
      <c r="I161" s="661"/>
    </row>
    <row r="162" spans="1:9" x14ac:dyDescent="0.3">
      <c r="A162" s="17"/>
      <c r="B162" s="18"/>
      <c r="C162" s="18"/>
      <c r="D162" s="18"/>
      <c r="E162" s="17"/>
      <c r="F162" s="17"/>
      <c r="G162" s="17"/>
      <c r="H162" s="17"/>
      <c r="I162" s="17"/>
    </row>
    <row r="163" spans="1:9" ht="15" thickBot="1" x14ac:dyDescent="0.35">
      <c r="A163" s="389" t="s">
        <v>397</v>
      </c>
      <c r="B163" s="396" t="s">
        <v>398</v>
      </c>
      <c r="C163" s="397" t="s">
        <v>420</v>
      </c>
      <c r="D163" s="634" t="s">
        <v>421</v>
      </c>
      <c r="E163" s="634" t="s">
        <v>399</v>
      </c>
      <c r="F163" s="400" t="s">
        <v>400</v>
      </c>
      <c r="G163" s="394" t="s">
        <v>401</v>
      </c>
    </row>
    <row r="164" spans="1:9" ht="62.25" customHeight="1" thickBot="1" x14ac:dyDescent="0.35">
      <c r="A164" s="387"/>
      <c r="B164" s="632" t="s">
        <v>82</v>
      </c>
      <c r="C164" s="239" t="s">
        <v>43</v>
      </c>
      <c r="D164" s="635" t="s">
        <v>83</v>
      </c>
      <c r="E164" s="635" t="s">
        <v>83</v>
      </c>
      <c r="F164" s="633" t="s">
        <v>83</v>
      </c>
      <c r="G164" s="131" t="s">
        <v>44</v>
      </c>
    </row>
    <row r="165" spans="1:9" ht="15" thickBot="1" x14ac:dyDescent="0.35">
      <c r="A165" s="389"/>
      <c r="B165" s="388"/>
      <c r="C165" s="240"/>
      <c r="D165" s="116" t="s">
        <v>23</v>
      </c>
      <c r="E165" s="117" t="s">
        <v>84</v>
      </c>
      <c r="F165" s="116" t="s">
        <v>85</v>
      </c>
      <c r="G165" s="394"/>
    </row>
    <row r="166" spans="1:9" ht="28.8" x14ac:dyDescent="0.3">
      <c r="A166" s="390">
        <v>1</v>
      </c>
      <c r="B166" s="235" t="s">
        <v>54</v>
      </c>
      <c r="C166" s="242">
        <v>0</v>
      </c>
      <c r="D166" s="718">
        <v>0</v>
      </c>
      <c r="E166" s="718">
        <v>0</v>
      </c>
      <c r="F166" s="718">
        <v>0</v>
      </c>
      <c r="G166" s="242">
        <f>C166+D166-E166-F166</f>
        <v>0</v>
      </c>
    </row>
    <row r="167" spans="1:9" ht="57.6" x14ac:dyDescent="0.3">
      <c r="A167" s="391"/>
      <c r="B167" s="236" t="s">
        <v>432</v>
      </c>
      <c r="C167" s="119">
        <v>0</v>
      </c>
      <c r="D167" s="719">
        <v>0</v>
      </c>
      <c r="E167" s="719">
        <v>0</v>
      </c>
      <c r="F167" s="719">
        <v>0</v>
      </c>
      <c r="G167" s="395">
        <f>C167+D167-E167-F167</f>
        <v>0</v>
      </c>
    </row>
    <row r="168" spans="1:9" ht="28.8" x14ac:dyDescent="0.3">
      <c r="A168" s="392" t="s">
        <v>86</v>
      </c>
      <c r="B168" s="236" t="s">
        <v>87</v>
      </c>
      <c r="C168" s="121">
        <v>20153457.479999997</v>
      </c>
      <c r="D168" s="720">
        <f>1407073.25+257.54+145853.4+1992.6+296175.69+65711.49+2016.5+6999.5+1232.15+18275.34+513392</f>
        <v>2458979.46</v>
      </c>
      <c r="E168" s="720">
        <v>8320700.1399999997</v>
      </c>
      <c r="F168" s="720">
        <f>3677.7</f>
        <v>3677.7</v>
      </c>
      <c r="G168" s="243">
        <f>C168+D168-E168-F168</f>
        <v>14288059.099999998</v>
      </c>
    </row>
    <row r="169" spans="1:9" ht="57.6" x14ac:dyDescent="0.3">
      <c r="A169" s="392"/>
      <c r="B169" s="236" t="s">
        <v>432</v>
      </c>
      <c r="C169" s="123">
        <v>0</v>
      </c>
      <c r="D169" s="720">
        <v>0</v>
      </c>
      <c r="E169" s="720">
        <v>0</v>
      </c>
      <c r="F169" s="720">
        <v>0</v>
      </c>
      <c r="G169" s="244">
        <f>C169+D169-E169-F169</f>
        <v>0</v>
      </c>
    </row>
    <row r="170" spans="1:9" ht="29.4" thickBot="1" x14ac:dyDescent="0.35">
      <c r="A170" s="393" t="s">
        <v>88</v>
      </c>
      <c r="B170" s="403" t="s">
        <v>89</v>
      </c>
      <c r="C170" s="121">
        <v>14182988.699999999</v>
      </c>
      <c r="D170" s="720">
        <v>871987.9</v>
      </c>
      <c r="E170" s="720">
        <v>0</v>
      </c>
      <c r="F170" s="720">
        <v>0</v>
      </c>
      <c r="G170" s="119">
        <f>C170+D170-E170-F170</f>
        <v>15054976.6</v>
      </c>
    </row>
    <row r="171" spans="1:9" ht="14.4" x14ac:dyDescent="0.3">
      <c r="A171" s="401" t="s">
        <v>90</v>
      </c>
      <c r="B171" s="401"/>
      <c r="C171" s="402">
        <f>C166+C168+C170</f>
        <v>34336446.179999992</v>
      </c>
      <c r="D171" s="402">
        <f>D166+D168+D170</f>
        <v>3330967.36</v>
      </c>
      <c r="E171" s="402">
        <f>E166+E168+E170</f>
        <v>8320700.1399999997</v>
      </c>
      <c r="F171" s="402">
        <f>F166+F168+F170</f>
        <v>3677.7</v>
      </c>
      <c r="G171" s="402">
        <f>G166+G168+G170</f>
        <v>29343035.699999996</v>
      </c>
    </row>
    <row r="172" spans="1:9" ht="14.4" x14ac:dyDescent="0.3">
      <c r="A172" s="250" t="s">
        <v>395</v>
      </c>
      <c r="B172" s="251"/>
      <c r="C172" s="251"/>
      <c r="D172" s="251"/>
      <c r="E172" s="251"/>
      <c r="F172" s="251"/>
      <c r="G172" s="251"/>
      <c r="H172" s="12"/>
      <c r="I172" s="12"/>
    </row>
    <row r="173" spans="1:9" ht="14.4" x14ac:dyDescent="0.3">
      <c r="A173" s="250" t="s">
        <v>396</v>
      </c>
      <c r="B173" s="251"/>
      <c r="C173" s="251"/>
      <c r="D173" s="251"/>
      <c r="E173" s="251"/>
      <c r="F173" s="251"/>
      <c r="G173" s="251"/>
      <c r="H173" s="12"/>
      <c r="I173" s="12"/>
    </row>
    <row r="174" spans="1:9" ht="14.4" x14ac:dyDescent="0.3">
      <c r="A174" s="671" t="s">
        <v>91</v>
      </c>
      <c r="B174" s="662"/>
      <c r="C174" s="662"/>
      <c r="D174" s="662"/>
      <c r="E174" s="662"/>
      <c r="F174" s="662"/>
      <c r="G174" s="662"/>
    </row>
    <row r="175" spans="1:9" x14ac:dyDescent="0.3">
      <c r="A175" s="19"/>
      <c r="B175" s="20"/>
      <c r="C175" s="21"/>
      <c r="D175" s="21"/>
      <c r="E175" s="21"/>
      <c r="F175" s="21"/>
      <c r="G175" s="21"/>
    </row>
    <row r="176" spans="1:9" ht="33" customHeight="1" thickBot="1" x14ac:dyDescent="0.35">
      <c r="A176" s="417" t="s">
        <v>92</v>
      </c>
      <c r="B176" s="417" t="s">
        <v>93</v>
      </c>
      <c r="C176" s="418" t="s">
        <v>94</v>
      </c>
      <c r="D176" s="240" t="s">
        <v>95</v>
      </c>
      <c r="E176" s="418" t="s">
        <v>96</v>
      </c>
      <c r="F176" s="394" t="s">
        <v>97</v>
      </c>
    </row>
    <row r="177" spans="1:6" ht="57.75" customHeight="1" x14ac:dyDescent="0.3">
      <c r="A177" s="405" t="s">
        <v>98</v>
      </c>
      <c r="B177" s="124">
        <v>0</v>
      </c>
      <c r="C177" s="124">
        <v>0</v>
      </c>
      <c r="D177" s="124">
        <v>0</v>
      </c>
      <c r="E177" s="124">
        <v>0</v>
      </c>
      <c r="F177" s="411">
        <f t="shared" ref="F177:F185" si="9">B177+C177-D177-E177</f>
        <v>0</v>
      </c>
    </row>
    <row r="178" spans="1:6" ht="69.75" customHeight="1" x14ac:dyDescent="0.3">
      <c r="A178" s="406" t="s">
        <v>99</v>
      </c>
      <c r="B178" s="125">
        <v>0</v>
      </c>
      <c r="C178" s="125">
        <v>0</v>
      </c>
      <c r="D178" s="125">
        <v>0</v>
      </c>
      <c r="E178" s="125">
        <v>0</v>
      </c>
      <c r="F178" s="412">
        <f t="shared" si="9"/>
        <v>0</v>
      </c>
    </row>
    <row r="179" spans="1:6" ht="14.4" x14ac:dyDescent="0.3">
      <c r="A179" s="406" t="s">
        <v>100</v>
      </c>
      <c r="B179" s="125">
        <v>0</v>
      </c>
      <c r="C179" s="125">
        <v>0</v>
      </c>
      <c r="D179" s="125">
        <v>0</v>
      </c>
      <c r="E179" s="125">
        <v>0</v>
      </c>
      <c r="F179" s="412">
        <f t="shared" si="9"/>
        <v>0</v>
      </c>
    </row>
    <row r="180" spans="1:6" ht="14.4" x14ac:dyDescent="0.3">
      <c r="A180" s="406" t="s">
        <v>101</v>
      </c>
      <c r="B180" s="125">
        <v>0</v>
      </c>
      <c r="C180" s="125">
        <v>0</v>
      </c>
      <c r="D180" s="125">
        <v>0</v>
      </c>
      <c r="E180" s="125">
        <v>0</v>
      </c>
      <c r="F180" s="412">
        <f t="shared" si="9"/>
        <v>0</v>
      </c>
    </row>
    <row r="181" spans="1:6" ht="96" customHeight="1" x14ac:dyDescent="0.3">
      <c r="A181" s="406" t="s">
        <v>389</v>
      </c>
      <c r="B181" s="125">
        <v>0</v>
      </c>
      <c r="C181" s="125">
        <v>0</v>
      </c>
      <c r="D181" s="125">
        <v>0</v>
      </c>
      <c r="E181" s="125">
        <v>0</v>
      </c>
      <c r="F181" s="412">
        <f t="shared" si="9"/>
        <v>0</v>
      </c>
    </row>
    <row r="182" spans="1:6" ht="57" customHeight="1" x14ac:dyDescent="0.3">
      <c r="A182" s="245" t="s">
        <v>102</v>
      </c>
      <c r="B182" s="125">
        <v>0</v>
      </c>
      <c r="C182" s="125">
        <v>0</v>
      </c>
      <c r="D182" s="125">
        <v>0</v>
      </c>
      <c r="E182" s="125">
        <v>0</v>
      </c>
      <c r="F182" s="412">
        <f t="shared" si="9"/>
        <v>0</v>
      </c>
    </row>
    <row r="183" spans="1:6" ht="35.25" customHeight="1" x14ac:dyDescent="0.3">
      <c r="A183" s="245" t="s">
        <v>103</v>
      </c>
      <c r="B183" s="125">
        <v>0</v>
      </c>
      <c r="C183" s="125">
        <v>0</v>
      </c>
      <c r="D183" s="125">
        <v>0</v>
      </c>
      <c r="E183" s="125">
        <v>0</v>
      </c>
      <c r="F183" s="412">
        <f t="shared" si="9"/>
        <v>0</v>
      </c>
    </row>
    <row r="184" spans="1:6" ht="59.25" customHeight="1" x14ac:dyDescent="0.3">
      <c r="A184" s="245" t="s">
        <v>390</v>
      </c>
      <c r="B184" s="125">
        <v>0</v>
      </c>
      <c r="C184" s="125">
        <v>0</v>
      </c>
      <c r="D184" s="125">
        <v>0</v>
      </c>
      <c r="E184" s="125">
        <v>0</v>
      </c>
      <c r="F184" s="412">
        <f t="shared" si="9"/>
        <v>0</v>
      </c>
    </row>
    <row r="185" spans="1:6" ht="69" customHeight="1" thickBot="1" x14ac:dyDescent="0.35">
      <c r="A185" s="407" t="s">
        <v>448</v>
      </c>
      <c r="B185" s="126">
        <v>1045000</v>
      </c>
      <c r="C185" s="126">
        <v>0</v>
      </c>
      <c r="D185" s="126">
        <v>0</v>
      </c>
      <c r="E185" s="126">
        <v>0</v>
      </c>
      <c r="F185" s="413">
        <f t="shared" si="9"/>
        <v>1045000</v>
      </c>
    </row>
    <row r="186" spans="1:6" ht="14.4" x14ac:dyDescent="0.3">
      <c r="A186" s="408" t="s">
        <v>384</v>
      </c>
      <c r="B186" s="127">
        <f>SUM(B187:B206)</f>
        <v>15621478.93</v>
      </c>
      <c r="C186" s="127">
        <f>SUM(C187:C206)</f>
        <v>32000</v>
      </c>
      <c r="D186" s="127">
        <f>SUM(D187:D206)</f>
        <v>0</v>
      </c>
      <c r="E186" s="127">
        <f>SUM(E187:E206)</f>
        <v>11627580.24</v>
      </c>
      <c r="F186" s="414">
        <f>SUM(F187:F206)</f>
        <v>4025898.69</v>
      </c>
    </row>
    <row r="187" spans="1:6" ht="14.4" x14ac:dyDescent="0.3">
      <c r="A187" s="463" t="s">
        <v>104</v>
      </c>
      <c r="B187" s="128">
        <v>5000</v>
      </c>
      <c r="C187" s="128">
        <v>22500</v>
      </c>
      <c r="D187" s="129">
        <v>0</v>
      </c>
      <c r="E187" s="129">
        <v>0</v>
      </c>
      <c r="F187" s="415">
        <f t="shared" ref="F187:F206" si="10">B187+C187-D187-E187</f>
        <v>27500</v>
      </c>
    </row>
    <row r="188" spans="1:6" ht="14.4" x14ac:dyDescent="0.3">
      <c r="A188" s="463" t="s">
        <v>105</v>
      </c>
      <c r="B188" s="128">
        <v>0</v>
      </c>
      <c r="C188" s="128">
        <v>0</v>
      </c>
      <c r="D188" s="129">
        <v>0</v>
      </c>
      <c r="E188" s="129">
        <v>0</v>
      </c>
      <c r="F188" s="415">
        <f t="shared" si="10"/>
        <v>0</v>
      </c>
    </row>
    <row r="189" spans="1:6" ht="32.25" customHeight="1" x14ac:dyDescent="0.3">
      <c r="A189" s="463" t="s">
        <v>106</v>
      </c>
      <c r="B189" s="128">
        <v>0</v>
      </c>
      <c r="C189" s="128">
        <v>0</v>
      </c>
      <c r="D189" s="129">
        <v>0</v>
      </c>
      <c r="E189" s="129">
        <v>0</v>
      </c>
      <c r="F189" s="415">
        <f t="shared" si="10"/>
        <v>0</v>
      </c>
    </row>
    <row r="190" spans="1:6" ht="96" customHeight="1" x14ac:dyDescent="0.3">
      <c r="A190" s="625" t="s">
        <v>426</v>
      </c>
      <c r="B190" s="128">
        <v>0</v>
      </c>
      <c r="C190" s="128">
        <v>0</v>
      </c>
      <c r="D190" s="129">
        <v>0</v>
      </c>
      <c r="E190" s="129">
        <v>0</v>
      </c>
      <c r="F190" s="415">
        <f t="shared" si="10"/>
        <v>0</v>
      </c>
    </row>
    <row r="191" spans="1:6" ht="60.75" customHeight="1" x14ac:dyDescent="0.3">
      <c r="A191" s="586" t="s">
        <v>107</v>
      </c>
      <c r="B191" s="128">
        <v>0</v>
      </c>
      <c r="C191" s="128">
        <v>0</v>
      </c>
      <c r="D191" s="129">
        <v>0</v>
      </c>
      <c r="E191" s="129">
        <v>0</v>
      </c>
      <c r="F191" s="415">
        <f t="shared" si="10"/>
        <v>0</v>
      </c>
    </row>
    <row r="192" spans="1:6" ht="14.4" x14ac:dyDescent="0.3">
      <c r="A192" s="586" t="s">
        <v>108</v>
      </c>
      <c r="B192" s="128">
        <v>0</v>
      </c>
      <c r="C192" s="128">
        <v>0</v>
      </c>
      <c r="D192" s="129">
        <v>0</v>
      </c>
      <c r="E192" s="129">
        <v>0</v>
      </c>
      <c r="F192" s="415">
        <f t="shared" si="10"/>
        <v>0</v>
      </c>
    </row>
    <row r="193" spans="1:8" ht="14.4" x14ac:dyDescent="0.3">
      <c r="A193" s="586" t="s">
        <v>109</v>
      </c>
      <c r="B193" s="128">
        <v>0</v>
      </c>
      <c r="C193" s="128">
        <v>0</v>
      </c>
      <c r="D193" s="129">
        <v>0</v>
      </c>
      <c r="E193" s="129">
        <v>0</v>
      </c>
      <c r="F193" s="415">
        <f t="shared" si="10"/>
        <v>0</v>
      </c>
    </row>
    <row r="194" spans="1:8" ht="28.8" x14ac:dyDescent="0.3">
      <c r="A194" s="586" t="s">
        <v>110</v>
      </c>
      <c r="B194" s="128">
        <v>0</v>
      </c>
      <c r="C194" s="128">
        <v>0</v>
      </c>
      <c r="D194" s="129">
        <v>0</v>
      </c>
      <c r="E194" s="129">
        <v>0</v>
      </c>
      <c r="F194" s="415">
        <f t="shared" si="10"/>
        <v>0</v>
      </c>
    </row>
    <row r="195" spans="1:8" ht="14.4" x14ac:dyDescent="0.3">
      <c r="A195" s="586" t="s">
        <v>111</v>
      </c>
      <c r="B195" s="128">
        <v>0</v>
      </c>
      <c r="C195" s="128">
        <v>0</v>
      </c>
      <c r="D195" s="129">
        <v>0</v>
      </c>
      <c r="E195" s="129">
        <v>0</v>
      </c>
      <c r="F195" s="415">
        <f t="shared" si="10"/>
        <v>0</v>
      </c>
    </row>
    <row r="196" spans="1:8" ht="14.4" x14ac:dyDescent="0.3">
      <c r="A196" s="586" t="s">
        <v>112</v>
      </c>
      <c r="B196" s="128">
        <v>0</v>
      </c>
      <c r="C196" s="128">
        <v>0</v>
      </c>
      <c r="D196" s="129">
        <v>0</v>
      </c>
      <c r="E196" s="129">
        <v>0</v>
      </c>
      <c r="F196" s="415">
        <f t="shared" si="10"/>
        <v>0</v>
      </c>
    </row>
    <row r="197" spans="1:8" ht="14.4" x14ac:dyDescent="0.3">
      <c r="A197" s="586" t="s">
        <v>113</v>
      </c>
      <c r="B197" s="128">
        <v>0</v>
      </c>
      <c r="C197" s="128">
        <v>0</v>
      </c>
      <c r="D197" s="129">
        <v>0</v>
      </c>
      <c r="E197" s="129">
        <v>0</v>
      </c>
      <c r="F197" s="415">
        <f t="shared" si="10"/>
        <v>0</v>
      </c>
    </row>
    <row r="198" spans="1:8" ht="14.4" x14ac:dyDescent="0.3">
      <c r="A198" s="586" t="s">
        <v>114</v>
      </c>
      <c r="B198" s="128">
        <v>0</v>
      </c>
      <c r="C198" s="128">
        <v>0</v>
      </c>
      <c r="D198" s="129">
        <v>0</v>
      </c>
      <c r="E198" s="129">
        <v>0</v>
      </c>
      <c r="F198" s="415">
        <f t="shared" si="10"/>
        <v>0</v>
      </c>
    </row>
    <row r="199" spans="1:8" ht="27" customHeight="1" x14ac:dyDescent="0.3">
      <c r="A199" s="586" t="s">
        <v>115</v>
      </c>
      <c r="B199" s="128">
        <v>0</v>
      </c>
      <c r="C199" s="128">
        <v>0</v>
      </c>
      <c r="D199" s="129">
        <v>0</v>
      </c>
      <c r="E199" s="129">
        <v>0</v>
      </c>
      <c r="F199" s="415">
        <f t="shared" si="10"/>
        <v>0</v>
      </c>
    </row>
    <row r="200" spans="1:8" ht="47.25" customHeight="1" x14ac:dyDescent="0.3">
      <c r="A200" s="625" t="s">
        <v>116</v>
      </c>
      <c r="B200" s="128">
        <v>0</v>
      </c>
      <c r="C200" s="128">
        <v>0</v>
      </c>
      <c r="D200" s="129">
        <v>0</v>
      </c>
      <c r="E200" s="129">
        <v>0</v>
      </c>
      <c r="F200" s="415">
        <f t="shared" si="10"/>
        <v>0</v>
      </c>
    </row>
    <row r="201" spans="1:8" ht="41.25" customHeight="1" x14ac:dyDescent="0.3">
      <c r="A201" s="625" t="s">
        <v>117</v>
      </c>
      <c r="B201" s="128">
        <v>0</v>
      </c>
      <c r="C201" s="128">
        <v>0</v>
      </c>
      <c r="D201" s="129">
        <v>0</v>
      </c>
      <c r="E201" s="129">
        <v>0</v>
      </c>
      <c r="F201" s="415">
        <f t="shared" si="10"/>
        <v>0</v>
      </c>
    </row>
    <row r="202" spans="1:8" ht="27.75" customHeight="1" x14ac:dyDescent="0.3">
      <c r="A202" s="625" t="s">
        <v>118</v>
      </c>
      <c r="B202" s="128">
        <v>1320393.69</v>
      </c>
      <c r="C202" s="128">
        <v>0</v>
      </c>
      <c r="D202" s="129">
        <v>0</v>
      </c>
      <c r="E202" s="129">
        <v>0</v>
      </c>
      <c r="F202" s="415">
        <f t="shared" si="10"/>
        <v>1320393.69</v>
      </c>
    </row>
    <row r="203" spans="1:8" ht="58.5" customHeight="1" x14ac:dyDescent="0.3">
      <c r="A203" s="625" t="s">
        <v>119</v>
      </c>
      <c r="B203" s="128">
        <v>0</v>
      </c>
      <c r="C203" s="128">
        <v>0</v>
      </c>
      <c r="D203" s="129">
        <v>0</v>
      </c>
      <c r="E203" s="129">
        <v>0</v>
      </c>
      <c r="F203" s="415">
        <f t="shared" si="10"/>
        <v>0</v>
      </c>
    </row>
    <row r="204" spans="1:8" ht="51.75" customHeight="1" x14ac:dyDescent="0.3">
      <c r="A204" s="639" t="s">
        <v>120</v>
      </c>
      <c r="B204" s="128">
        <v>0</v>
      </c>
      <c r="C204" s="128">
        <v>0</v>
      </c>
      <c r="D204" s="129">
        <v>0</v>
      </c>
      <c r="E204" s="129">
        <v>0</v>
      </c>
      <c r="F204" s="415">
        <f t="shared" si="10"/>
        <v>0</v>
      </c>
      <c r="H204" s="7" t="s">
        <v>449</v>
      </c>
    </row>
    <row r="205" spans="1:8" ht="14.4" x14ac:dyDescent="0.3">
      <c r="A205" s="639" t="s">
        <v>121</v>
      </c>
      <c r="B205" s="128">
        <v>0</v>
      </c>
      <c r="C205" s="128">
        <v>0</v>
      </c>
      <c r="D205" s="129">
        <v>0</v>
      </c>
      <c r="E205" s="129">
        <v>0</v>
      </c>
      <c r="F205" s="415">
        <f t="shared" si="10"/>
        <v>0</v>
      </c>
    </row>
    <row r="206" spans="1:8" ht="15" thickBot="1" x14ac:dyDescent="0.35">
      <c r="A206" s="591" t="s">
        <v>122</v>
      </c>
      <c r="B206" s="130">
        <v>14296085.24</v>
      </c>
      <c r="C206" s="130">
        <f>9500</f>
        <v>9500</v>
      </c>
      <c r="D206" s="637">
        <v>0</v>
      </c>
      <c r="E206" s="637">
        <v>11627580.24</v>
      </c>
      <c r="F206" s="638">
        <f t="shared" si="10"/>
        <v>2678005</v>
      </c>
    </row>
    <row r="207" spans="1:8" ht="14.4" x14ac:dyDescent="0.3">
      <c r="A207" s="419" t="s">
        <v>123</v>
      </c>
      <c r="B207" s="420">
        <f>SUM(B177:B186)</f>
        <v>16666478.93</v>
      </c>
      <c r="C207" s="420">
        <f>SUM(C177:C186)</f>
        <v>32000</v>
      </c>
      <c r="D207" s="420">
        <f>SUM(D177:D188)</f>
        <v>0</v>
      </c>
      <c r="E207" s="420">
        <f>SUM(E177:E186)</f>
        <v>11627580.24</v>
      </c>
      <c r="F207" s="636">
        <f>SUM(F177:F186)</f>
        <v>5070898.6899999995</v>
      </c>
    </row>
    <row r="208" spans="1:8" x14ac:dyDescent="0.3">
      <c r="A208" s="12"/>
      <c r="B208" s="12"/>
      <c r="C208" s="12"/>
      <c r="D208" s="12"/>
      <c r="E208" s="12"/>
      <c r="F208" s="12"/>
      <c r="G208" s="12"/>
    </row>
    <row r="209" spans="1:7" x14ac:dyDescent="0.3">
      <c r="A209" s="22"/>
      <c r="B209" s="22"/>
      <c r="C209" s="22"/>
      <c r="D209" s="22"/>
      <c r="E209" s="22"/>
      <c r="F209" s="22"/>
      <c r="G209" s="22"/>
    </row>
    <row r="210" spans="1:7" ht="27.75" customHeight="1" x14ac:dyDescent="0.3">
      <c r="A210" s="663" t="s">
        <v>124</v>
      </c>
      <c r="B210" s="663"/>
      <c r="C210" s="663"/>
      <c r="D210" s="642"/>
      <c r="E210" s="643"/>
    </row>
    <row r="211" spans="1:7" ht="14.4" x14ac:dyDescent="0.3">
      <c r="A211" s="23"/>
      <c r="B211" s="23"/>
      <c r="C211" s="23"/>
    </row>
    <row r="212" spans="1:7" ht="29.4" thickBot="1" x14ac:dyDescent="0.35">
      <c r="A212" s="472" t="s">
        <v>30</v>
      </c>
      <c r="B212" s="416" t="s">
        <v>43</v>
      </c>
      <c r="C212" s="425" t="s">
        <v>44</v>
      </c>
    </row>
    <row r="213" spans="1:7" ht="15" thickBot="1" x14ac:dyDescent="0.35">
      <c r="A213" s="410" t="s">
        <v>125</v>
      </c>
      <c r="B213" s="132">
        <f>SUM(B214:B216)</f>
        <v>0</v>
      </c>
      <c r="C213" s="421">
        <f>SUM(C214:C216)</f>
        <v>0</v>
      </c>
    </row>
    <row r="214" spans="1:7" ht="14.4" x14ac:dyDescent="0.3">
      <c r="A214" s="541" t="s">
        <v>126</v>
      </c>
      <c r="B214" s="133">
        <v>0</v>
      </c>
      <c r="C214" s="422">
        <v>0</v>
      </c>
    </row>
    <row r="215" spans="1:7" ht="14.4" x14ac:dyDescent="0.3">
      <c r="A215" s="542" t="s">
        <v>127</v>
      </c>
      <c r="B215" s="134">
        <v>0</v>
      </c>
      <c r="C215" s="423">
        <v>0</v>
      </c>
    </row>
    <row r="216" spans="1:7" ht="15" thickBot="1" x14ac:dyDescent="0.35">
      <c r="A216" s="543" t="s">
        <v>128</v>
      </c>
      <c r="B216" s="134">
        <v>0</v>
      </c>
      <c r="C216" s="423">
        <v>0</v>
      </c>
    </row>
    <row r="217" spans="1:7" ht="26.25" customHeight="1" thickBot="1" x14ac:dyDescent="0.35">
      <c r="A217" s="544" t="s">
        <v>129</v>
      </c>
      <c r="B217" s="136">
        <f>SUM(B218:B220)</f>
        <v>15767.400000000001</v>
      </c>
      <c r="C217" s="421">
        <f>SUM(C218:C220)</f>
        <v>15658.95</v>
      </c>
    </row>
    <row r="218" spans="1:7" ht="25.5" customHeight="1" x14ac:dyDescent="0.3">
      <c r="A218" s="541" t="s">
        <v>126</v>
      </c>
      <c r="B218" s="422">
        <v>1666.9</v>
      </c>
      <c r="C218" s="422">
        <f>1003.9+663</f>
        <v>1666.9</v>
      </c>
    </row>
    <row r="219" spans="1:7" ht="14.4" x14ac:dyDescent="0.3">
      <c r="A219" s="542" t="s">
        <v>127</v>
      </c>
      <c r="B219" s="423">
        <v>1666.9</v>
      </c>
      <c r="C219" s="423">
        <f>1003.9+663</f>
        <v>1666.9</v>
      </c>
    </row>
    <row r="220" spans="1:7" ht="15" thickBot="1" x14ac:dyDescent="0.35">
      <c r="A220" s="543" t="s">
        <v>128</v>
      </c>
      <c r="B220" s="423">
        <v>12433.6</v>
      </c>
      <c r="C220" s="423">
        <f>6689.65+5635.5</f>
        <v>12325.15</v>
      </c>
    </row>
    <row r="221" spans="1:7" ht="26.25" customHeight="1" thickBot="1" x14ac:dyDescent="0.35">
      <c r="A221" s="544" t="s">
        <v>130</v>
      </c>
      <c r="B221" s="137">
        <f>SUM(B222:B224)</f>
        <v>492498.05</v>
      </c>
      <c r="C221" s="424">
        <f>SUM(C222:C224)</f>
        <v>68390.19</v>
      </c>
    </row>
    <row r="222" spans="1:7" ht="25.5" customHeight="1" x14ac:dyDescent="0.3">
      <c r="A222" s="541" t="s">
        <v>126</v>
      </c>
      <c r="B222" s="422">
        <v>126763.26</v>
      </c>
      <c r="C222" s="422">
        <f>432.8+19416.4</f>
        <v>19849.2</v>
      </c>
    </row>
    <row r="223" spans="1:7" ht="14.4" x14ac:dyDescent="0.3">
      <c r="A223" s="542" t="s">
        <v>127</v>
      </c>
      <c r="B223" s="423">
        <v>125897.66</v>
      </c>
      <c r="C223" s="423">
        <v>19416.400000000001</v>
      </c>
    </row>
    <row r="224" spans="1:7" ht="15" thickBot="1" x14ac:dyDescent="0.35">
      <c r="A224" s="543" t="s">
        <v>128</v>
      </c>
      <c r="B224" s="423">
        <v>239837.13</v>
      </c>
      <c r="C224" s="423">
        <v>29124.59</v>
      </c>
    </row>
    <row r="225" spans="1:5" ht="14.4" x14ac:dyDescent="0.3">
      <c r="A225" s="545" t="s">
        <v>131</v>
      </c>
      <c r="B225" s="426">
        <f>B217+B221+B213</f>
        <v>508265.45</v>
      </c>
      <c r="C225" s="427">
        <f>C217+C221+C213</f>
        <v>84049.14</v>
      </c>
    </row>
    <row r="228" spans="1:5" ht="71.25" customHeight="1" x14ac:dyDescent="0.3">
      <c r="A228" s="663" t="s">
        <v>132</v>
      </c>
      <c r="B228" s="652"/>
      <c r="C228" s="652"/>
      <c r="D228" s="641"/>
    </row>
    <row r="229" spans="1:5" ht="14.4" x14ac:dyDescent="0.3">
      <c r="A229" s="651" t="s">
        <v>387</v>
      </c>
      <c r="B229" s="50"/>
      <c r="C229" s="50"/>
    </row>
    <row r="230" spans="1:5" ht="29.4" thickBot="1" x14ac:dyDescent="0.35">
      <c r="A230" s="430" t="s">
        <v>133</v>
      </c>
      <c r="B230" s="383" t="s">
        <v>93</v>
      </c>
      <c r="C230" s="431" t="s">
        <v>97</v>
      </c>
    </row>
    <row r="231" spans="1:5" ht="25.5" customHeight="1" x14ac:dyDescent="0.3">
      <c r="A231" s="241" t="s">
        <v>134</v>
      </c>
      <c r="B231" s="138"/>
      <c r="C231" s="428"/>
    </row>
    <row r="232" spans="1:5" ht="26.25" customHeight="1" thickBot="1" x14ac:dyDescent="0.35">
      <c r="A232" s="270" t="s">
        <v>135</v>
      </c>
      <c r="B232" s="139"/>
      <c r="C232" s="429"/>
    </row>
    <row r="233" spans="1:5" ht="14.4" x14ac:dyDescent="0.3">
      <c r="A233" s="540" t="s">
        <v>123</v>
      </c>
      <c r="B233" s="432">
        <f>SUM(B231:B232)</f>
        <v>0</v>
      </c>
      <c r="C233" s="433">
        <f>SUM(C231:C232)</f>
        <v>0</v>
      </c>
    </row>
    <row r="239" spans="1:5" ht="30" customHeight="1" x14ac:dyDescent="0.3">
      <c r="A239" s="669" t="s">
        <v>136</v>
      </c>
      <c r="B239" s="669"/>
      <c r="C239" s="669"/>
      <c r="D239" s="669"/>
      <c r="E239" s="669"/>
    </row>
    <row r="240" spans="1:5" ht="14.4" x14ac:dyDescent="0.3">
      <c r="A240" s="651" t="s">
        <v>387</v>
      </c>
      <c r="B240" s="50"/>
      <c r="C240" s="50"/>
      <c r="D240" s="24"/>
      <c r="E240" s="24"/>
    </row>
    <row r="241" spans="1:5" ht="36" customHeight="1" thickBot="1" x14ac:dyDescent="0.35">
      <c r="A241" s="434" t="s">
        <v>137</v>
      </c>
      <c r="B241" s="445" t="s">
        <v>138</v>
      </c>
      <c r="C241" s="445" t="s">
        <v>402</v>
      </c>
      <c r="D241" s="445" t="s">
        <v>139</v>
      </c>
      <c r="E241" s="445" t="s">
        <v>403</v>
      </c>
    </row>
    <row r="242" spans="1:5" ht="15" thickBot="1" x14ac:dyDescent="0.35">
      <c r="A242" s="434"/>
      <c r="B242" s="142" t="s">
        <v>140</v>
      </c>
      <c r="C242" s="143" t="s">
        <v>141</v>
      </c>
      <c r="D242" s="144" t="s">
        <v>142</v>
      </c>
      <c r="E242" s="439" t="s">
        <v>143</v>
      </c>
    </row>
    <row r="243" spans="1:5" ht="15" thickBot="1" x14ac:dyDescent="0.35">
      <c r="A243" s="435" t="s">
        <v>144</v>
      </c>
      <c r="B243" s="302"/>
      <c r="C243" s="291"/>
      <c r="D243" s="291"/>
      <c r="E243" s="291"/>
    </row>
    <row r="244" spans="1:5" ht="14.4" x14ac:dyDescent="0.3">
      <c r="A244" s="268" t="s">
        <v>145</v>
      </c>
      <c r="B244" s="145"/>
      <c r="C244" s="145"/>
      <c r="D244" s="146"/>
      <c r="E244" s="440"/>
    </row>
    <row r="245" spans="1:5" ht="14.4" x14ac:dyDescent="0.3">
      <c r="A245" s="268" t="s">
        <v>146</v>
      </c>
      <c r="B245" s="145"/>
      <c r="C245" s="145"/>
      <c r="D245" s="146"/>
      <c r="E245" s="440"/>
    </row>
    <row r="246" spans="1:5" ht="14.4" x14ac:dyDescent="0.3">
      <c r="A246" s="268" t="s">
        <v>147</v>
      </c>
      <c r="B246" s="145"/>
      <c r="C246" s="145"/>
      <c r="D246" s="146"/>
      <c r="E246" s="440"/>
    </row>
    <row r="247" spans="1:5" ht="14.4" x14ac:dyDescent="0.3">
      <c r="A247" s="268" t="s">
        <v>148</v>
      </c>
      <c r="B247" s="147">
        <f>SUM(B248:B249)</f>
        <v>0</v>
      </c>
      <c r="C247" s="147">
        <f>SUM(C248:C249)</f>
        <v>0</v>
      </c>
      <c r="D247" s="147">
        <f>SUM(D248:D249)</f>
        <v>0</v>
      </c>
      <c r="E247" s="441">
        <f>SUM(E248:E249)</f>
        <v>0</v>
      </c>
    </row>
    <row r="248" spans="1:5" ht="14.4" x14ac:dyDescent="0.3">
      <c r="A248" s="409" t="s">
        <v>79</v>
      </c>
      <c r="B248" s="147"/>
      <c r="C248" s="147"/>
      <c r="D248" s="148"/>
      <c r="E248" s="441"/>
    </row>
    <row r="249" spans="1:5" ht="15" thickBot="1" x14ac:dyDescent="0.35">
      <c r="A249" s="436" t="s">
        <v>79</v>
      </c>
      <c r="B249" s="149"/>
      <c r="C249" s="149"/>
      <c r="D249" s="150"/>
      <c r="E249" s="442"/>
    </row>
    <row r="250" spans="1:5" ht="15" thickBot="1" x14ac:dyDescent="0.35">
      <c r="A250" s="437" t="s">
        <v>123</v>
      </c>
      <c r="B250" s="112">
        <f>SUM(B244:B247)</f>
        <v>0</v>
      </c>
      <c r="C250" s="112">
        <f>SUM(C244:C247)</f>
        <v>0</v>
      </c>
      <c r="D250" s="112">
        <f>SUM(D244:D247)</f>
        <v>0</v>
      </c>
      <c r="E250" s="151">
        <f>SUM(E244:E247)</f>
        <v>0</v>
      </c>
    </row>
    <row r="251" spans="1:5" ht="15" thickBot="1" x14ac:dyDescent="0.35">
      <c r="A251" s="435" t="s">
        <v>149</v>
      </c>
      <c r="B251" s="302"/>
      <c r="C251" s="291"/>
      <c r="D251" s="291"/>
      <c r="E251" s="291"/>
    </row>
    <row r="252" spans="1:5" ht="14.4" x14ac:dyDescent="0.3">
      <c r="A252" s="268" t="s">
        <v>145</v>
      </c>
      <c r="B252" s="145"/>
      <c r="C252" s="145"/>
      <c r="D252" s="146"/>
      <c r="E252" s="440"/>
    </row>
    <row r="253" spans="1:5" ht="14.4" x14ac:dyDescent="0.3">
      <c r="A253" s="268" t="s">
        <v>146</v>
      </c>
      <c r="B253" s="145"/>
      <c r="C253" s="145"/>
      <c r="D253" s="146"/>
      <c r="E253" s="440"/>
    </row>
    <row r="254" spans="1:5" ht="14.4" x14ac:dyDescent="0.3">
      <c r="A254" s="268" t="s">
        <v>147</v>
      </c>
      <c r="B254" s="145"/>
      <c r="C254" s="145"/>
      <c r="D254" s="146"/>
      <c r="E254" s="440"/>
    </row>
    <row r="255" spans="1:5" ht="14.4" x14ac:dyDescent="0.3">
      <c r="A255" s="268" t="s">
        <v>148</v>
      </c>
      <c r="B255" s="147">
        <f>SUM(B256:B257)</f>
        <v>0</v>
      </c>
      <c r="C255" s="147">
        <f>SUM(C256:C257)</f>
        <v>0</v>
      </c>
      <c r="D255" s="147">
        <f>SUM(D256:D257)</f>
        <v>0</v>
      </c>
      <c r="E255" s="441">
        <f>SUM(E256:E257)</f>
        <v>0</v>
      </c>
    </row>
    <row r="256" spans="1:5" ht="14.4" x14ac:dyDescent="0.3">
      <c r="A256" s="409" t="s">
        <v>79</v>
      </c>
      <c r="B256" s="147"/>
      <c r="C256" s="147"/>
      <c r="D256" s="148"/>
      <c r="E256" s="441"/>
    </row>
    <row r="257" spans="1:7" ht="15" thickBot="1" x14ac:dyDescent="0.35">
      <c r="A257" s="436" t="s">
        <v>79</v>
      </c>
      <c r="B257" s="149"/>
      <c r="C257" s="149"/>
      <c r="D257" s="150"/>
      <c r="E257" s="442"/>
    </row>
    <row r="258" spans="1:7" ht="14.4" x14ac:dyDescent="0.3">
      <c r="A258" s="386" t="s">
        <v>123</v>
      </c>
      <c r="B258" s="385">
        <f>SUM(B252:B255)</f>
        <v>0</v>
      </c>
      <c r="C258" s="385">
        <f>SUM(C252:C255)</f>
        <v>0</v>
      </c>
      <c r="D258" s="385">
        <f>SUM(D252:D255)</f>
        <v>0</v>
      </c>
      <c r="E258" s="444">
        <f>SUM(E252:E255)</f>
        <v>0</v>
      </c>
    </row>
    <row r="262" spans="1:7" ht="45.75" customHeight="1" x14ac:dyDescent="0.3">
      <c r="A262" s="663" t="s">
        <v>150</v>
      </c>
      <c r="B262" s="652"/>
      <c r="C262" s="652"/>
      <c r="D262" s="641"/>
      <c r="G262" s="25"/>
    </row>
    <row r="263" spans="1:7" ht="14.4" x14ac:dyDescent="0.3">
      <c r="A263" s="651" t="s">
        <v>387</v>
      </c>
      <c r="B263" s="50"/>
      <c r="C263" s="50"/>
      <c r="G263" s="25"/>
    </row>
    <row r="264" spans="1:7" ht="99" customHeight="1" thickBot="1" x14ac:dyDescent="0.35">
      <c r="A264" s="450" t="s">
        <v>151</v>
      </c>
      <c r="B264" s="383" t="s">
        <v>93</v>
      </c>
      <c r="C264" s="451" t="s">
        <v>44</v>
      </c>
      <c r="D264" s="431" t="s">
        <v>152</v>
      </c>
      <c r="F264" s="26"/>
    </row>
    <row r="265" spans="1:7" ht="25.5" customHeight="1" x14ac:dyDescent="0.3">
      <c r="A265" s="303" t="s">
        <v>153</v>
      </c>
      <c r="B265" s="152"/>
      <c r="C265" s="153"/>
      <c r="D265" s="446"/>
      <c r="F265" s="26"/>
    </row>
    <row r="266" spans="1:7" ht="14.4" x14ac:dyDescent="0.3">
      <c r="A266" s="301" t="s">
        <v>391</v>
      </c>
      <c r="B266" s="154"/>
      <c r="C266" s="135"/>
      <c r="D266" s="423"/>
      <c r="F266" s="26"/>
    </row>
    <row r="267" spans="1:7" ht="25.5" customHeight="1" x14ac:dyDescent="0.3">
      <c r="A267" s="640" t="s">
        <v>154</v>
      </c>
      <c r="B267" s="155"/>
      <c r="C267" s="156"/>
      <c r="D267" s="447"/>
      <c r="F267" s="27"/>
    </row>
    <row r="268" spans="1:7" ht="14.4" x14ac:dyDescent="0.3">
      <c r="A268" s="300" t="s">
        <v>155</v>
      </c>
      <c r="B268" s="154"/>
      <c r="C268" s="135"/>
      <c r="D268" s="423"/>
      <c r="F268" s="26"/>
    </row>
    <row r="269" spans="1:7" ht="14.4" x14ac:dyDescent="0.3">
      <c r="A269" s="301" t="s">
        <v>156</v>
      </c>
      <c r="B269" s="157"/>
      <c r="C269" s="158"/>
      <c r="D269" s="448"/>
      <c r="F269" s="26"/>
    </row>
    <row r="270" spans="1:7" ht="14.4" x14ac:dyDescent="0.3">
      <c r="A270" s="301" t="s">
        <v>157</v>
      </c>
      <c r="B270" s="157"/>
      <c r="C270" s="158"/>
      <c r="D270" s="448"/>
      <c r="F270" s="26"/>
    </row>
    <row r="271" spans="1:7" ht="14.4" x14ac:dyDescent="0.3">
      <c r="A271" s="301" t="s">
        <v>158</v>
      </c>
      <c r="B271" s="157"/>
      <c r="C271" s="158"/>
      <c r="D271" s="448"/>
      <c r="F271" s="26"/>
    </row>
    <row r="272" spans="1:7" ht="14.4" x14ac:dyDescent="0.3">
      <c r="A272" s="301" t="s">
        <v>159</v>
      </c>
      <c r="B272" s="154"/>
      <c r="C272" s="135"/>
      <c r="D272" s="423"/>
    </row>
    <row r="273" spans="1:4" ht="15" thickBot="1" x14ac:dyDescent="0.35">
      <c r="A273" s="299" t="s">
        <v>16</v>
      </c>
      <c r="B273" s="159"/>
      <c r="C273" s="160"/>
      <c r="D273" s="449"/>
    </row>
    <row r="274" spans="1:4" ht="14.4" x14ac:dyDescent="0.3">
      <c r="A274" s="452" t="s">
        <v>90</v>
      </c>
      <c r="B274" s="453">
        <f>B265+B266+B268+B272+B269+B270+B271+B273</f>
        <v>0</v>
      </c>
      <c r="C274" s="453">
        <f>C265+C266+C268+C272+C269+C270+C271+C273</f>
        <v>0</v>
      </c>
      <c r="D274" s="454"/>
    </row>
    <row r="275" spans="1:4" ht="30" customHeight="1" x14ac:dyDescent="0.3">
      <c r="A275" s="671" t="s">
        <v>160</v>
      </c>
      <c r="B275" s="662"/>
      <c r="C275" s="662"/>
      <c r="D275" s="662"/>
    </row>
    <row r="276" spans="1:4" x14ac:dyDescent="0.3">
      <c r="A276" s="19"/>
      <c r="B276" s="20"/>
      <c r="C276" s="21"/>
      <c r="D276" s="21"/>
    </row>
    <row r="277" spans="1:4" ht="29.4" thickBot="1" x14ac:dyDescent="0.35">
      <c r="A277" s="460" t="s">
        <v>92</v>
      </c>
      <c r="B277" s="417" t="s">
        <v>93</v>
      </c>
      <c r="C277" s="394" t="s">
        <v>97</v>
      </c>
    </row>
    <row r="278" spans="1:4" ht="32.25" customHeight="1" thickBot="1" x14ac:dyDescent="0.35">
      <c r="A278" s="263" t="s">
        <v>161</v>
      </c>
      <c r="B278" s="162">
        <v>0</v>
      </c>
      <c r="C278" s="456">
        <v>0</v>
      </c>
    </row>
    <row r="279" spans="1:4" ht="15" thickBot="1" x14ac:dyDescent="0.35">
      <c r="A279" s="263" t="s">
        <v>162</v>
      </c>
      <c r="B279" s="162">
        <v>0</v>
      </c>
      <c r="C279" s="456">
        <v>0</v>
      </c>
    </row>
    <row r="280" spans="1:4" ht="15" thickBot="1" x14ac:dyDescent="0.35">
      <c r="A280" s="263" t="s">
        <v>163</v>
      </c>
      <c r="B280" s="162">
        <v>0</v>
      </c>
      <c r="C280" s="456">
        <v>0</v>
      </c>
    </row>
    <row r="281" spans="1:4" ht="29.25" customHeight="1" thickBot="1" x14ac:dyDescent="0.35">
      <c r="A281" s="263" t="s">
        <v>392</v>
      </c>
      <c r="B281" s="162">
        <v>0</v>
      </c>
      <c r="C281" s="456">
        <v>0</v>
      </c>
    </row>
    <row r="282" spans="1:4" ht="42.75" customHeight="1" thickBot="1" x14ac:dyDescent="0.35">
      <c r="A282" s="263" t="s">
        <v>164</v>
      </c>
      <c r="B282" s="162">
        <v>0</v>
      </c>
      <c r="C282" s="456">
        <v>0</v>
      </c>
    </row>
    <row r="283" spans="1:4" ht="15" thickBot="1" x14ac:dyDescent="0.35">
      <c r="A283" s="478" t="s">
        <v>165</v>
      </c>
      <c r="B283" s="162">
        <v>0</v>
      </c>
      <c r="C283" s="456">
        <v>0</v>
      </c>
    </row>
    <row r="284" spans="1:4" ht="29.25" customHeight="1" thickBot="1" x14ac:dyDescent="0.35">
      <c r="A284" s="478" t="s">
        <v>393</v>
      </c>
      <c r="B284" s="162">
        <v>0</v>
      </c>
      <c r="C284" s="456">
        <v>0</v>
      </c>
    </row>
    <row r="285" spans="1:4" ht="33" customHeight="1" thickBot="1" x14ac:dyDescent="0.35">
      <c r="A285" s="478" t="s">
        <v>427</v>
      </c>
      <c r="B285" s="162">
        <v>0</v>
      </c>
      <c r="C285" s="456">
        <v>0</v>
      </c>
    </row>
    <row r="286" spans="1:4" ht="15" thickBot="1" x14ac:dyDescent="0.35">
      <c r="A286" s="455" t="s">
        <v>385</v>
      </c>
      <c r="B286" s="163">
        <f>SUM(B287:B306)</f>
        <v>3153484.4899999998</v>
      </c>
      <c r="C286" s="457">
        <f>SUM(C287:C306)</f>
        <v>2869813.29</v>
      </c>
    </row>
    <row r="287" spans="1:4" ht="13.5" customHeight="1" x14ac:dyDescent="0.3">
      <c r="A287" s="626" t="s">
        <v>104</v>
      </c>
      <c r="B287" s="164">
        <v>295217.39</v>
      </c>
      <c r="C287" s="458">
        <f>260000+35217.39</f>
        <v>295217.39</v>
      </c>
    </row>
    <row r="288" spans="1:4" ht="14.4" x14ac:dyDescent="0.3">
      <c r="A288" s="463" t="s">
        <v>105</v>
      </c>
      <c r="B288" s="165">
        <v>0</v>
      </c>
      <c r="C288" s="458">
        <v>0</v>
      </c>
    </row>
    <row r="289" spans="1:3" ht="14.4" x14ac:dyDescent="0.3">
      <c r="A289" s="586" t="s">
        <v>106</v>
      </c>
      <c r="B289" s="165">
        <v>0</v>
      </c>
      <c r="C289" s="458">
        <v>0</v>
      </c>
    </row>
    <row r="290" spans="1:3" ht="62.25" customHeight="1" x14ac:dyDescent="0.3">
      <c r="A290" s="677" t="s">
        <v>430</v>
      </c>
      <c r="B290" s="678">
        <v>0</v>
      </c>
      <c r="C290" s="458">
        <v>0</v>
      </c>
    </row>
    <row r="291" spans="1:3" ht="14.4" x14ac:dyDescent="0.3">
      <c r="A291" s="586" t="s">
        <v>107</v>
      </c>
      <c r="B291" s="165">
        <v>0</v>
      </c>
      <c r="C291" s="458">
        <v>0</v>
      </c>
    </row>
    <row r="292" spans="1:3" ht="14.4" x14ac:dyDescent="0.3">
      <c r="A292" s="586" t="s">
        <v>108</v>
      </c>
      <c r="B292" s="165">
        <v>0</v>
      </c>
      <c r="C292" s="458">
        <v>0</v>
      </c>
    </row>
    <row r="293" spans="1:3" ht="14.4" x14ac:dyDescent="0.3">
      <c r="A293" s="586" t="s">
        <v>109</v>
      </c>
      <c r="B293" s="165">
        <v>0</v>
      </c>
      <c r="C293" s="458">
        <v>0</v>
      </c>
    </row>
    <row r="294" spans="1:3" ht="26.25" customHeight="1" x14ac:dyDescent="0.3">
      <c r="A294" s="586" t="s">
        <v>110</v>
      </c>
      <c r="B294" s="128">
        <v>0</v>
      </c>
      <c r="C294" s="459">
        <v>0</v>
      </c>
    </row>
    <row r="295" spans="1:3" ht="14.4" x14ac:dyDescent="0.3">
      <c r="A295" s="586" t="s">
        <v>111</v>
      </c>
      <c r="B295" s="128">
        <v>0</v>
      </c>
      <c r="C295" s="459">
        <v>0</v>
      </c>
    </row>
    <row r="296" spans="1:3" ht="14.4" x14ac:dyDescent="0.3">
      <c r="A296" s="586" t="s">
        <v>112</v>
      </c>
      <c r="B296" s="128">
        <v>0</v>
      </c>
      <c r="C296" s="459">
        <v>0</v>
      </c>
    </row>
    <row r="297" spans="1:3" ht="14.4" x14ac:dyDescent="0.3">
      <c r="A297" s="586" t="s">
        <v>113</v>
      </c>
      <c r="B297" s="128"/>
      <c r="C297" s="459"/>
    </row>
    <row r="298" spans="1:3" ht="14.4" x14ac:dyDescent="0.3">
      <c r="A298" s="586" t="s">
        <v>114</v>
      </c>
      <c r="B298" s="128">
        <v>283671.2</v>
      </c>
      <c r="C298" s="459">
        <v>0</v>
      </c>
    </row>
    <row r="299" spans="1:3" ht="14.4" x14ac:dyDescent="0.3">
      <c r="A299" s="586" t="s">
        <v>115</v>
      </c>
      <c r="B299" s="128">
        <v>0</v>
      </c>
      <c r="C299" s="459">
        <v>0</v>
      </c>
    </row>
    <row r="300" spans="1:3" ht="30" customHeight="1" x14ac:dyDescent="0.3">
      <c r="A300" s="625" t="s">
        <v>116</v>
      </c>
      <c r="B300" s="128">
        <v>0</v>
      </c>
      <c r="C300" s="459">
        <v>0</v>
      </c>
    </row>
    <row r="301" spans="1:3" ht="14.4" x14ac:dyDescent="0.3">
      <c r="A301" s="625" t="s">
        <v>117</v>
      </c>
      <c r="B301" s="128">
        <v>0</v>
      </c>
      <c r="C301" s="459">
        <v>0</v>
      </c>
    </row>
    <row r="302" spans="1:3" ht="27" customHeight="1" x14ac:dyDescent="0.3">
      <c r="A302" s="625" t="s">
        <v>118</v>
      </c>
      <c r="B302" s="128">
        <v>2500000</v>
      </c>
      <c r="C302" s="459">
        <v>2500000</v>
      </c>
    </row>
    <row r="303" spans="1:3" ht="27" customHeight="1" x14ac:dyDescent="0.3">
      <c r="A303" s="625" t="s">
        <v>119</v>
      </c>
      <c r="B303" s="128">
        <v>0</v>
      </c>
      <c r="C303" s="459">
        <v>0</v>
      </c>
    </row>
    <row r="304" spans="1:3" ht="14.4" x14ac:dyDescent="0.3">
      <c r="A304" s="625" t="s">
        <v>120</v>
      </c>
      <c r="B304" s="128">
        <v>0</v>
      </c>
      <c r="C304" s="459">
        <v>0</v>
      </c>
    </row>
    <row r="305" spans="1:7" ht="14.4" x14ac:dyDescent="0.3">
      <c r="A305" s="625" t="s">
        <v>121</v>
      </c>
      <c r="B305" s="128">
        <v>0</v>
      </c>
      <c r="C305" s="459">
        <v>0</v>
      </c>
    </row>
    <row r="306" spans="1:7" ht="15" thickBot="1" x14ac:dyDescent="0.35">
      <c r="A306" s="591" t="s">
        <v>122</v>
      </c>
      <c r="B306" s="130">
        <v>74595.899999999994</v>
      </c>
      <c r="C306" s="459">
        <f>72896.8+1699.1</f>
        <v>74595.900000000009</v>
      </c>
    </row>
    <row r="307" spans="1:7" ht="14.4" x14ac:dyDescent="0.3">
      <c r="A307" s="419" t="s">
        <v>123</v>
      </c>
      <c r="B307" s="461">
        <f>SUM(B287:B306)</f>
        <v>3153484.4899999998</v>
      </c>
      <c r="C307" s="462">
        <f>SUM(C287:C306)</f>
        <v>2869813.29</v>
      </c>
    </row>
    <row r="308" spans="1:7" x14ac:dyDescent="0.3">
      <c r="A308" s="12"/>
      <c r="B308" s="12"/>
      <c r="C308" s="12"/>
      <c r="D308" s="12"/>
    </row>
    <row r="309" spans="1:7" x14ac:dyDescent="0.3">
      <c r="A309" s="12"/>
      <c r="B309" s="12"/>
      <c r="C309" s="12"/>
      <c r="D309" s="12"/>
    </row>
    <row r="310" spans="1:7" x14ac:dyDescent="0.3">
      <c r="A310" s="670"/>
      <c r="B310" s="642"/>
      <c r="C310" s="642"/>
      <c r="D310" s="12"/>
    </row>
    <row r="312" spans="1:7" ht="14.4" x14ac:dyDescent="0.3">
      <c r="A312" s="660" t="s">
        <v>166</v>
      </c>
      <c r="B312" s="660"/>
      <c r="C312" s="660"/>
    </row>
    <row r="313" spans="1:7" ht="15.6" x14ac:dyDescent="0.3">
      <c r="A313" s="28"/>
      <c r="B313" s="21"/>
      <c r="C313" s="21"/>
    </row>
    <row r="314" spans="1:7" ht="29.4" thickBot="1" x14ac:dyDescent="0.35">
      <c r="A314" s="472" t="s">
        <v>167</v>
      </c>
      <c r="B314" s="467" t="s">
        <v>43</v>
      </c>
      <c r="C314" s="394" t="s">
        <v>44</v>
      </c>
      <c r="F314" s="647"/>
      <c r="G314" s="647"/>
    </row>
    <row r="315" spans="1:7" ht="15" thickBot="1" x14ac:dyDescent="0.35">
      <c r="A315" s="260" t="s">
        <v>168</v>
      </c>
      <c r="B315" s="161">
        <f>SUM(B316:B325)</f>
        <v>508265.45</v>
      </c>
      <c r="C315" s="464">
        <f>SUM(C316:C325)</f>
        <v>84049.14</v>
      </c>
      <c r="F315" s="647"/>
      <c r="G315" s="647"/>
    </row>
    <row r="316" spans="1:7" ht="55.5" customHeight="1" x14ac:dyDescent="0.3">
      <c r="A316" s="296" t="s">
        <v>169</v>
      </c>
      <c r="B316" s="166">
        <v>0</v>
      </c>
      <c r="C316" s="465">
        <v>0</v>
      </c>
      <c r="F316" s="647"/>
      <c r="G316" s="647"/>
    </row>
    <row r="317" spans="1:7" ht="14.4" x14ac:dyDescent="0.3">
      <c r="A317" s="297" t="s">
        <v>170</v>
      </c>
      <c r="B317" s="167">
        <v>0</v>
      </c>
      <c r="C317" s="466">
        <v>0</v>
      </c>
    </row>
    <row r="318" spans="1:7" ht="14.4" x14ac:dyDescent="0.3">
      <c r="A318" s="294" t="s">
        <v>171</v>
      </c>
      <c r="B318" s="473">
        <v>0</v>
      </c>
      <c r="C318" s="168">
        <v>0</v>
      </c>
    </row>
    <row r="319" spans="1:7" ht="28.5" customHeight="1" x14ac:dyDescent="0.3">
      <c r="A319" s="289" t="s">
        <v>172</v>
      </c>
      <c r="B319" s="473">
        <v>0</v>
      </c>
      <c r="C319" s="168">
        <v>0</v>
      </c>
    </row>
    <row r="320" spans="1:7" ht="32.25" customHeight="1" x14ac:dyDescent="0.3">
      <c r="A320" s="289" t="s">
        <v>173</v>
      </c>
      <c r="B320" s="473">
        <v>0</v>
      </c>
      <c r="C320" s="168">
        <v>0</v>
      </c>
    </row>
    <row r="321" spans="1:3" ht="14.4" x14ac:dyDescent="0.3">
      <c r="A321" s="292" t="s">
        <v>174</v>
      </c>
      <c r="B321" s="473">
        <v>0</v>
      </c>
      <c r="C321" s="168">
        <v>0</v>
      </c>
    </row>
    <row r="322" spans="1:3" ht="14.4" x14ac:dyDescent="0.3">
      <c r="A322" s="292" t="s">
        <v>175</v>
      </c>
      <c r="B322" s="473">
        <v>0</v>
      </c>
      <c r="C322" s="168">
        <v>0</v>
      </c>
    </row>
    <row r="323" spans="1:3" ht="14.4" x14ac:dyDescent="0.3">
      <c r="A323" s="294" t="s">
        <v>176</v>
      </c>
      <c r="B323" s="474">
        <v>0</v>
      </c>
      <c r="C323" s="154">
        <v>0</v>
      </c>
    </row>
    <row r="324" spans="1:3" ht="14.4" x14ac:dyDescent="0.3">
      <c r="A324" s="292" t="s">
        <v>177</v>
      </c>
      <c r="B324" s="709">
        <v>0</v>
      </c>
      <c r="C324" s="154">
        <v>0</v>
      </c>
    </row>
    <row r="325" spans="1:3" ht="15" thickBot="1" x14ac:dyDescent="0.35">
      <c r="A325" s="295" t="s">
        <v>16</v>
      </c>
      <c r="B325" s="679">
        <f>8474.4+492498.05+7293</f>
        <v>508265.45</v>
      </c>
      <c r="C325" s="157">
        <f>8697.45+68390.19+6961.5</f>
        <v>84049.14</v>
      </c>
    </row>
    <row r="326" spans="1:3" ht="15" thickBot="1" x14ac:dyDescent="0.35">
      <c r="A326" s="260" t="s">
        <v>178</v>
      </c>
      <c r="B326" s="161">
        <f>SUM(B327:B336)</f>
        <v>68789.94</v>
      </c>
      <c r="C326" s="470">
        <f>SUM(C327:C336)</f>
        <v>34149.199999999997</v>
      </c>
    </row>
    <row r="327" spans="1:3" ht="59.25" customHeight="1" x14ac:dyDescent="0.3">
      <c r="A327" s="296" t="s">
        <v>169</v>
      </c>
      <c r="B327" s="475">
        <v>0</v>
      </c>
      <c r="C327" s="167">
        <v>0</v>
      </c>
    </row>
    <row r="328" spans="1:3" ht="14.4" x14ac:dyDescent="0.3">
      <c r="A328" s="297" t="s">
        <v>170</v>
      </c>
      <c r="B328" s="475">
        <v>0</v>
      </c>
      <c r="C328" s="167">
        <v>0</v>
      </c>
    </row>
    <row r="329" spans="1:3" ht="14.4" x14ac:dyDescent="0.3">
      <c r="A329" s="294" t="s">
        <v>171</v>
      </c>
      <c r="B329" s="473">
        <v>0</v>
      </c>
      <c r="C329" s="168">
        <v>0</v>
      </c>
    </row>
    <row r="330" spans="1:3" ht="27.75" customHeight="1" x14ac:dyDescent="0.3">
      <c r="A330" s="289" t="s">
        <v>172</v>
      </c>
      <c r="B330" s="473">
        <v>0</v>
      </c>
      <c r="C330" s="168">
        <v>0</v>
      </c>
    </row>
    <row r="331" spans="1:3" ht="24.75" customHeight="1" x14ac:dyDescent="0.3">
      <c r="A331" s="289" t="s">
        <v>173</v>
      </c>
      <c r="B331" s="473">
        <v>3110.86</v>
      </c>
      <c r="C331" s="168">
        <v>3389.39</v>
      </c>
    </row>
    <row r="332" spans="1:3" ht="14.4" x14ac:dyDescent="0.3">
      <c r="A332" s="289" t="s">
        <v>174</v>
      </c>
      <c r="B332" s="473">
        <v>0</v>
      </c>
      <c r="C332" s="168">
        <v>0</v>
      </c>
    </row>
    <row r="333" spans="1:3" ht="14.4" x14ac:dyDescent="0.3">
      <c r="A333" s="292" t="s">
        <v>175</v>
      </c>
      <c r="B333" s="473">
        <v>0</v>
      </c>
      <c r="C333" s="168">
        <v>0</v>
      </c>
    </row>
    <row r="334" spans="1:3" ht="14.4" x14ac:dyDescent="0.3">
      <c r="A334" s="292" t="s">
        <v>179</v>
      </c>
      <c r="B334" s="474">
        <v>1464</v>
      </c>
      <c r="C334" s="154">
        <f>18075.36+1614+96</f>
        <v>19785.36</v>
      </c>
    </row>
    <row r="335" spans="1:3" ht="14.4" x14ac:dyDescent="0.3">
      <c r="A335" s="292" t="s">
        <v>177</v>
      </c>
      <c r="B335" s="474">
        <v>0</v>
      </c>
      <c r="C335" s="154">
        <v>0</v>
      </c>
    </row>
    <row r="336" spans="1:3" ht="21.75" customHeight="1" thickBot="1" x14ac:dyDescent="0.35">
      <c r="A336" s="293" t="s">
        <v>431</v>
      </c>
      <c r="B336" s="476">
        <v>64215.079999999994</v>
      </c>
      <c r="C336" s="169">
        <f>501.95+10141+331.5</f>
        <v>10974.45</v>
      </c>
    </row>
    <row r="337" spans="1:5" ht="14.4" x14ac:dyDescent="0.3">
      <c r="A337" s="469" t="s">
        <v>12</v>
      </c>
      <c r="B337" s="477">
        <f>B315+B326</f>
        <v>577055.39</v>
      </c>
      <c r="C337" s="471">
        <f>C315+C326</f>
        <v>118198.34</v>
      </c>
    </row>
    <row r="341" spans="1:5" ht="36" customHeight="1" x14ac:dyDescent="0.3">
      <c r="A341" s="671" t="s">
        <v>180</v>
      </c>
      <c r="B341" s="671"/>
      <c r="C341" s="671"/>
      <c r="D341" s="646"/>
      <c r="E341" s="646"/>
    </row>
    <row r="342" spans="1:5" x14ac:dyDescent="0.3">
      <c r="A342" s="21"/>
      <c r="B342" s="21"/>
      <c r="C342" s="21"/>
      <c r="D342" s="12"/>
    </row>
    <row r="343" spans="1:5" ht="29.4" thickBot="1" x14ac:dyDescent="0.35">
      <c r="A343" s="483" t="s">
        <v>181</v>
      </c>
      <c r="B343" s="485" t="s">
        <v>43</v>
      </c>
      <c r="C343" s="425" t="s">
        <v>97</v>
      </c>
    </row>
    <row r="344" spans="1:5" ht="14.4" x14ac:dyDescent="0.3">
      <c r="A344" s="479" t="s">
        <v>182</v>
      </c>
      <c r="B344" s="170">
        <f>SUM(B345:B351)</f>
        <v>4499812.26</v>
      </c>
      <c r="C344" s="480">
        <f>SUM(C345:C351)</f>
        <v>4615853.8900000006</v>
      </c>
    </row>
    <row r="345" spans="1:5" ht="14.4" x14ac:dyDescent="0.3">
      <c r="A345" s="585" t="s">
        <v>183</v>
      </c>
      <c r="B345" s="171">
        <v>4314366.18</v>
      </c>
      <c r="C345" s="481">
        <f>4314366.18+570912.66-278258.81</f>
        <v>4607020.03</v>
      </c>
    </row>
    <row r="346" spans="1:5" ht="14.4" x14ac:dyDescent="0.3">
      <c r="A346" s="585" t="s">
        <v>184</v>
      </c>
      <c r="B346" s="171">
        <v>0</v>
      </c>
      <c r="C346" s="481">
        <v>0</v>
      </c>
    </row>
    <row r="347" spans="1:5" ht="27.75" customHeight="1" x14ac:dyDescent="0.3">
      <c r="A347" s="586" t="s">
        <v>185</v>
      </c>
      <c r="B347" s="171">
        <v>0</v>
      </c>
      <c r="C347" s="481">
        <v>0</v>
      </c>
    </row>
    <row r="348" spans="1:5" ht="14.4" x14ac:dyDescent="0.3">
      <c r="A348" s="586" t="s">
        <v>186</v>
      </c>
      <c r="B348" s="171">
        <v>0</v>
      </c>
      <c r="C348" s="481">
        <v>0</v>
      </c>
    </row>
    <row r="349" spans="1:5" ht="14.4" x14ac:dyDescent="0.3">
      <c r="A349" s="586" t="s">
        <v>187</v>
      </c>
      <c r="B349" s="171">
        <v>0</v>
      </c>
      <c r="C349" s="481">
        <v>0</v>
      </c>
    </row>
    <row r="350" spans="1:5" ht="16.5" customHeight="1" x14ac:dyDescent="0.3">
      <c r="A350" s="586" t="s">
        <v>188</v>
      </c>
      <c r="B350" s="171">
        <v>0</v>
      </c>
      <c r="C350" s="481">
        <v>0</v>
      </c>
    </row>
    <row r="351" spans="1:5" ht="14.4" x14ac:dyDescent="0.3">
      <c r="A351" s="586" t="s">
        <v>122</v>
      </c>
      <c r="B351" s="171">
        <v>185446.08000000002</v>
      </c>
      <c r="C351" s="481">
        <f>11498.04-2664.18</f>
        <v>8833.86</v>
      </c>
    </row>
    <row r="352" spans="1:5" ht="14.4" x14ac:dyDescent="0.3">
      <c r="A352" s="273" t="s">
        <v>189</v>
      </c>
      <c r="B352" s="170">
        <v>0</v>
      </c>
      <c r="C352" s="482">
        <f>C353+C354+C356</f>
        <v>0</v>
      </c>
    </row>
    <row r="353" spans="1:5" ht="14.4" x14ac:dyDescent="0.3">
      <c r="A353" s="602" t="s">
        <v>190</v>
      </c>
      <c r="B353" s="172">
        <v>0</v>
      </c>
      <c r="C353" s="155">
        <v>0</v>
      </c>
    </row>
    <row r="354" spans="1:5" ht="14.4" x14ac:dyDescent="0.3">
      <c r="A354" s="602" t="s">
        <v>191</v>
      </c>
      <c r="B354" s="172">
        <v>0</v>
      </c>
      <c r="C354" s="155">
        <v>0</v>
      </c>
    </row>
    <row r="355" spans="1:5" ht="14.4" x14ac:dyDescent="0.3">
      <c r="A355" s="602" t="s">
        <v>192</v>
      </c>
      <c r="B355" s="172">
        <v>0</v>
      </c>
      <c r="C355" s="155">
        <v>0</v>
      </c>
    </row>
    <row r="356" spans="1:5" ht="15" thickBot="1" x14ac:dyDescent="0.35">
      <c r="A356" s="624" t="s">
        <v>122</v>
      </c>
      <c r="B356" s="172">
        <v>0</v>
      </c>
      <c r="C356" s="155">
        <v>0</v>
      </c>
    </row>
    <row r="357" spans="1:5" ht="14.4" x14ac:dyDescent="0.3">
      <c r="A357" s="468" t="s">
        <v>12</v>
      </c>
      <c r="B357" s="486">
        <f>B344+B352</f>
        <v>4499812.26</v>
      </c>
      <c r="C357" s="487">
        <f>C344+C352</f>
        <v>4615853.8900000006</v>
      </c>
    </row>
    <row r="360" spans="1:5" ht="33.75" customHeight="1" x14ac:dyDescent="0.3">
      <c r="A360" s="663" t="s">
        <v>193</v>
      </c>
      <c r="B360" s="641"/>
      <c r="C360" s="641"/>
      <c r="D360" s="641"/>
    </row>
    <row r="361" spans="1:5" x14ac:dyDescent="0.3">
      <c r="B361" s="29"/>
    </row>
    <row r="362" spans="1:5" ht="29.4" thickBot="1" x14ac:dyDescent="0.35">
      <c r="A362" s="380" t="s">
        <v>397</v>
      </c>
      <c r="B362" s="443" t="s">
        <v>93</v>
      </c>
      <c r="C362" s="431" t="s">
        <v>44</v>
      </c>
    </row>
    <row r="363" spans="1:5" ht="15" thickBot="1" x14ac:dyDescent="0.35">
      <c r="A363" s="492" t="s">
        <v>194</v>
      </c>
      <c r="B363" s="423">
        <v>4950250.75</v>
      </c>
      <c r="C363" s="423">
        <v>7988170.7599999998</v>
      </c>
    </row>
    <row r="364" spans="1:5" ht="14.4" x14ac:dyDescent="0.3">
      <c r="A364" s="489" t="s">
        <v>90</v>
      </c>
      <c r="B364" s="494">
        <f>SUM(B363:B363)</f>
        <v>4950250.75</v>
      </c>
      <c r="C364" s="454">
        <f>SUM(C363:C363)</f>
        <v>7988170.7599999998</v>
      </c>
    </row>
    <row r="367" spans="1:5" ht="33.75" customHeight="1" x14ac:dyDescent="0.3">
      <c r="A367" s="663" t="s">
        <v>195</v>
      </c>
      <c r="B367" s="643"/>
      <c r="C367" s="643"/>
      <c r="D367" s="643"/>
      <c r="E367" s="648"/>
    </row>
    <row r="368" spans="1:5" x14ac:dyDescent="0.3">
      <c r="E368" s="12"/>
    </row>
    <row r="369" spans="1:9" ht="43.8" thickBot="1" x14ac:dyDescent="0.35">
      <c r="A369" s="382" t="s">
        <v>30</v>
      </c>
      <c r="B369" s="381" t="s">
        <v>196</v>
      </c>
      <c r="C369" s="495" t="s">
        <v>197</v>
      </c>
      <c r="D369" s="12"/>
    </row>
    <row r="370" spans="1:9" ht="14.4" x14ac:dyDescent="0.3">
      <c r="A370" s="496" t="s">
        <v>198</v>
      </c>
      <c r="B370" s="497">
        <v>529875.89</v>
      </c>
      <c r="C370" s="497">
        <v>492215.12</v>
      </c>
      <c r="D370" s="12"/>
    </row>
    <row r="371" spans="1:9" x14ac:dyDescent="0.3">
      <c r="A371" s="12"/>
      <c r="B371" s="12"/>
      <c r="C371" s="12"/>
      <c r="D371" s="12"/>
      <c r="E371" s="12"/>
    </row>
    <row r="372" spans="1:9" ht="29.25" customHeight="1" x14ac:dyDescent="0.3">
      <c r="A372" s="731" t="s">
        <v>199</v>
      </c>
      <c r="B372" s="731"/>
      <c r="C372" s="731"/>
      <c r="D372" s="730"/>
      <c r="E372" s="730"/>
    </row>
    <row r="376" spans="1:9" ht="14.4" x14ac:dyDescent="0.3">
      <c r="A376" s="664" t="s">
        <v>200</v>
      </c>
      <c r="B376" s="664"/>
      <c r="C376" s="664"/>
      <c r="D376" s="664"/>
      <c r="E376" s="664"/>
      <c r="F376" s="664"/>
      <c r="G376" s="664"/>
      <c r="H376" s="664"/>
      <c r="I376" s="664"/>
    </row>
    <row r="377" spans="1:9" s="647" customFormat="1" ht="14.4" x14ac:dyDescent="0.3">
      <c r="A377" s="664"/>
      <c r="B377" s="664"/>
      <c r="C377" s="664"/>
      <c r="D377" s="664"/>
      <c r="E377" s="664"/>
      <c r="F377" s="664"/>
      <c r="G377" s="664"/>
      <c r="H377" s="664"/>
      <c r="I377" s="664"/>
    </row>
    <row r="378" spans="1:9" x14ac:dyDescent="0.3">
      <c r="A378" s="738" t="s">
        <v>437</v>
      </c>
      <c r="B378" s="738"/>
      <c r="C378" s="738"/>
      <c r="D378" s="738"/>
      <c r="E378" s="738"/>
      <c r="F378" s="738"/>
      <c r="G378" s="738"/>
      <c r="H378" s="738"/>
      <c r="I378" s="738"/>
    </row>
    <row r="379" spans="1:9" ht="13.5" customHeight="1" x14ac:dyDescent="0.3">
      <c r="A379" s="664" t="s">
        <v>67</v>
      </c>
      <c r="B379" s="664"/>
      <c r="C379" s="664"/>
      <c r="D379" s="664"/>
      <c r="E379" s="664"/>
      <c r="F379" s="664"/>
      <c r="G379" s="664"/>
      <c r="H379" s="664"/>
      <c r="I379" s="664"/>
    </row>
    <row r="380" spans="1:9" ht="15.6" x14ac:dyDescent="0.3">
      <c r="A380" s="651" t="s">
        <v>387</v>
      </c>
      <c r="B380" s="50"/>
      <c r="C380" s="50"/>
      <c r="D380" s="30"/>
      <c r="E380" s="30"/>
      <c r="F380" s="30"/>
      <c r="G380" s="30"/>
      <c r="H380" s="30"/>
      <c r="I380" s="31"/>
    </row>
    <row r="381" spans="1:9" ht="73.5" customHeight="1" thickBot="1" x14ac:dyDescent="0.35">
      <c r="A381" s="502" t="s">
        <v>201</v>
      </c>
      <c r="B381" s="506" t="s">
        <v>202</v>
      </c>
      <c r="C381" s="506" t="s">
        <v>410</v>
      </c>
      <c r="D381" s="506" t="s">
        <v>411</v>
      </c>
      <c r="E381" s="290" t="s">
        <v>55</v>
      </c>
      <c r="F381" s="506" t="s">
        <v>203</v>
      </c>
      <c r="G381" s="506" t="s">
        <v>418</v>
      </c>
      <c r="H381" s="506" t="s">
        <v>419</v>
      </c>
      <c r="I381" s="503" t="s">
        <v>80</v>
      </c>
    </row>
    <row r="382" spans="1:9" ht="90" customHeight="1" thickBot="1" x14ac:dyDescent="0.35">
      <c r="A382" s="484"/>
      <c r="B382" s="173" t="s">
        <v>204</v>
      </c>
      <c r="C382" s="174" t="s">
        <v>205</v>
      </c>
      <c r="D382" s="175" t="s">
        <v>59</v>
      </c>
      <c r="E382" s="176" t="s">
        <v>206</v>
      </c>
      <c r="F382" s="173" t="s">
        <v>204</v>
      </c>
      <c r="G382" s="174" t="s">
        <v>207</v>
      </c>
      <c r="H382" s="175" t="s">
        <v>208</v>
      </c>
      <c r="I382" s="499"/>
    </row>
    <row r="383" spans="1:9" ht="15" thickBot="1" x14ac:dyDescent="0.35">
      <c r="A383" s="498" t="s">
        <v>422</v>
      </c>
      <c r="B383" s="177"/>
      <c r="C383" s="178"/>
      <c r="D383" s="179"/>
      <c r="E383" s="163"/>
      <c r="F383" s="177"/>
      <c r="G383" s="180"/>
      <c r="H383" s="179"/>
      <c r="I383" s="500">
        <f>SUM(B383:H383)</f>
        <v>0</v>
      </c>
    </row>
    <row r="384" spans="1:9" ht="15" thickBot="1" x14ac:dyDescent="0.35">
      <c r="A384" s="478" t="s">
        <v>23</v>
      </c>
      <c r="B384" s="182">
        <f t="shared" ref="B384:I384" si="11">SUM(B385:B387)</f>
        <v>0</v>
      </c>
      <c r="C384" s="183">
        <f t="shared" si="11"/>
        <v>0</v>
      </c>
      <c r="D384" s="184">
        <f t="shared" si="11"/>
        <v>0</v>
      </c>
      <c r="E384" s="181">
        <f t="shared" si="11"/>
        <v>0</v>
      </c>
      <c r="F384" s="182">
        <f t="shared" si="11"/>
        <v>0</v>
      </c>
      <c r="G384" s="182">
        <f t="shared" si="11"/>
        <v>0</v>
      </c>
      <c r="H384" s="181">
        <f t="shared" si="11"/>
        <v>0</v>
      </c>
      <c r="I384" s="298">
        <f t="shared" si="11"/>
        <v>0</v>
      </c>
    </row>
    <row r="385" spans="1:9" ht="14.4" x14ac:dyDescent="0.3">
      <c r="A385" s="622" t="s">
        <v>209</v>
      </c>
      <c r="B385" s="185"/>
      <c r="C385" s="186"/>
      <c r="D385" s="187"/>
      <c r="E385" s="188"/>
      <c r="F385" s="185"/>
      <c r="G385" s="189"/>
      <c r="H385" s="187"/>
      <c r="I385" s="501">
        <f>SUM(B385:H385)</f>
        <v>0</v>
      </c>
    </row>
    <row r="386" spans="1:9" ht="14.4" x14ac:dyDescent="0.3">
      <c r="A386" s="289" t="s">
        <v>210</v>
      </c>
      <c r="B386" s="190"/>
      <c r="C386" s="129"/>
      <c r="D386" s="191"/>
      <c r="E386" s="192"/>
      <c r="F386" s="190"/>
      <c r="G386" s="193"/>
      <c r="H386" s="191"/>
      <c r="I386" s="501">
        <f>SUM(B386:H386)</f>
        <v>0</v>
      </c>
    </row>
    <row r="387" spans="1:9" ht="15" thickBot="1" x14ac:dyDescent="0.35">
      <c r="A387" s="404" t="s">
        <v>211</v>
      </c>
      <c r="B387" s="190"/>
      <c r="C387" s="129"/>
      <c r="D387" s="191"/>
      <c r="E387" s="192"/>
      <c r="F387" s="190"/>
      <c r="G387" s="193"/>
      <c r="H387" s="191"/>
      <c r="I387" s="501">
        <f>SUM(B387:H387)</f>
        <v>0</v>
      </c>
    </row>
    <row r="388" spans="1:9" ht="15" thickBot="1" x14ac:dyDescent="0.35">
      <c r="A388" s="478" t="s">
        <v>24</v>
      </c>
      <c r="B388" s="177">
        <f t="shared" ref="B388:I388" si="12">SUM(B389:B392)</f>
        <v>0</v>
      </c>
      <c r="C388" s="178">
        <f t="shared" si="12"/>
        <v>0</v>
      </c>
      <c r="D388" s="180">
        <f t="shared" si="12"/>
        <v>0</v>
      </c>
      <c r="E388" s="163">
        <f t="shared" si="12"/>
        <v>0</v>
      </c>
      <c r="F388" s="177">
        <f t="shared" si="12"/>
        <v>0</v>
      </c>
      <c r="G388" s="177">
        <f t="shared" si="12"/>
        <v>0</v>
      </c>
      <c r="H388" s="163">
        <f t="shared" si="12"/>
        <v>0</v>
      </c>
      <c r="I388" s="500">
        <f t="shared" si="12"/>
        <v>0</v>
      </c>
    </row>
    <row r="389" spans="1:9" ht="13.5" customHeight="1" x14ac:dyDescent="0.3">
      <c r="A389" s="587" t="s">
        <v>212</v>
      </c>
      <c r="B389" s="190"/>
      <c r="C389" s="129"/>
      <c r="D389" s="191"/>
      <c r="E389" s="192"/>
      <c r="F389" s="190"/>
      <c r="G389" s="193"/>
      <c r="H389" s="191"/>
      <c r="I389" s="501">
        <f>SUM(B389:H389)</f>
        <v>0</v>
      </c>
    </row>
    <row r="390" spans="1:9" ht="14.4" x14ac:dyDescent="0.3">
      <c r="A390" s="587" t="s">
        <v>213</v>
      </c>
      <c r="B390" s="190"/>
      <c r="C390" s="129"/>
      <c r="D390" s="191"/>
      <c r="E390" s="192"/>
      <c r="F390" s="190"/>
      <c r="G390" s="193"/>
      <c r="H390" s="191"/>
      <c r="I390" s="501">
        <f>SUM(B390:H390)</f>
        <v>0</v>
      </c>
    </row>
    <row r="391" spans="1:9" ht="14.4" x14ac:dyDescent="0.3">
      <c r="A391" s="587" t="s">
        <v>214</v>
      </c>
      <c r="B391" s="190"/>
      <c r="C391" s="129"/>
      <c r="D391" s="191"/>
      <c r="E391" s="192"/>
      <c r="F391" s="190"/>
      <c r="G391" s="193"/>
      <c r="H391" s="191"/>
      <c r="I391" s="501">
        <f>SUM(B391:H391)</f>
        <v>0</v>
      </c>
    </row>
    <row r="392" spans="1:9" ht="25.5" customHeight="1" thickBot="1" x14ac:dyDescent="0.35">
      <c r="A392" s="623" t="s">
        <v>215</v>
      </c>
      <c r="B392" s="190"/>
      <c r="C392" s="129"/>
      <c r="D392" s="191"/>
      <c r="E392" s="192"/>
      <c r="F392" s="190"/>
      <c r="G392" s="193"/>
      <c r="H392" s="191"/>
      <c r="I392" s="501">
        <f>SUM(B392:H392)</f>
        <v>0</v>
      </c>
    </row>
    <row r="393" spans="1:9" s="647" customFormat="1" ht="25.5" customHeight="1" thickBot="1" x14ac:dyDescent="0.35">
      <c r="A393" s="504" t="s">
        <v>423</v>
      </c>
      <c r="B393" s="505">
        <f t="shared" ref="B393:I393" si="13">B383+B384-B388</f>
        <v>0</v>
      </c>
      <c r="C393" s="505">
        <f t="shared" si="13"/>
        <v>0</v>
      </c>
      <c r="D393" s="505">
        <f t="shared" si="13"/>
        <v>0</v>
      </c>
      <c r="E393" s="461">
        <f t="shared" si="13"/>
        <v>0</v>
      </c>
      <c r="F393" s="505">
        <f t="shared" si="13"/>
        <v>0</v>
      </c>
      <c r="G393" s="505">
        <f t="shared" si="13"/>
        <v>0</v>
      </c>
      <c r="H393" s="461">
        <f t="shared" si="13"/>
        <v>0</v>
      </c>
      <c r="I393" s="462">
        <f t="shared" si="13"/>
        <v>0</v>
      </c>
    </row>
    <row r="394" spans="1:9" s="647" customFormat="1" ht="25.5" customHeight="1" thickBot="1" x14ac:dyDescent="0.35">
      <c r="A394" s="680" t="s">
        <v>433</v>
      </c>
      <c r="B394" s="681"/>
      <c r="C394" s="682"/>
      <c r="D394" s="683"/>
      <c r="E394" s="684"/>
      <c r="F394" s="681"/>
      <c r="G394" s="685"/>
      <c r="H394" s="683"/>
      <c r="I394" s="684">
        <f>SUM(B394:H394)</f>
        <v>0</v>
      </c>
    </row>
    <row r="395" spans="1:9" s="647" customFormat="1" ht="15" thickBot="1" x14ac:dyDescent="0.35">
      <c r="A395" s="686" t="s">
        <v>23</v>
      </c>
      <c r="B395" s="681"/>
      <c r="C395" s="682"/>
      <c r="D395" s="683"/>
      <c r="E395" s="684"/>
      <c r="F395" s="681"/>
      <c r="G395" s="685"/>
      <c r="H395" s="683"/>
      <c r="I395" s="684">
        <f>SUM(B395:H395)</f>
        <v>0</v>
      </c>
    </row>
    <row r="396" spans="1:9" s="647" customFormat="1" ht="15" thickBot="1" x14ac:dyDescent="0.35">
      <c r="A396" s="686" t="s">
        <v>24</v>
      </c>
      <c r="B396" s="681"/>
      <c r="C396" s="682"/>
      <c r="D396" s="683"/>
      <c r="E396" s="684"/>
      <c r="F396" s="681"/>
      <c r="G396" s="685"/>
      <c r="H396" s="683"/>
      <c r="I396" s="684">
        <f>SUM(B396:H396)</f>
        <v>0</v>
      </c>
    </row>
    <row r="397" spans="1:9" s="647" customFormat="1" ht="25.5" customHeight="1" thickBot="1" x14ac:dyDescent="0.35">
      <c r="A397" s="686" t="s">
        <v>434</v>
      </c>
      <c r="B397" s="681">
        <f>B394+B395-B396</f>
        <v>0</v>
      </c>
      <c r="C397" s="682">
        <f t="shared" ref="C397:I397" si="14">C394+C395-C396</f>
        <v>0</v>
      </c>
      <c r="D397" s="683">
        <f t="shared" si="14"/>
        <v>0</v>
      </c>
      <c r="E397" s="684">
        <f t="shared" si="14"/>
        <v>0</v>
      </c>
      <c r="F397" s="681">
        <f t="shared" si="14"/>
        <v>0</v>
      </c>
      <c r="G397" s="685">
        <f t="shared" si="14"/>
        <v>0</v>
      </c>
      <c r="H397" s="683">
        <f t="shared" si="14"/>
        <v>0</v>
      </c>
      <c r="I397" s="684">
        <f t="shared" si="14"/>
        <v>0</v>
      </c>
    </row>
    <row r="398" spans="1:9" s="647" customFormat="1" ht="25.5" customHeight="1" thickBot="1" x14ac:dyDescent="0.35">
      <c r="A398" s="680" t="s">
        <v>435</v>
      </c>
      <c r="B398" s="687">
        <f t="shared" ref="B398:I398" si="15">B383-B394</f>
        <v>0</v>
      </c>
      <c r="C398" s="687">
        <f t="shared" si="15"/>
        <v>0</v>
      </c>
      <c r="D398" s="687">
        <f t="shared" si="15"/>
        <v>0</v>
      </c>
      <c r="E398" s="687">
        <f t="shared" si="15"/>
        <v>0</v>
      </c>
      <c r="F398" s="687">
        <f t="shared" si="15"/>
        <v>0</v>
      </c>
      <c r="G398" s="687">
        <f t="shared" si="15"/>
        <v>0</v>
      </c>
      <c r="H398" s="687">
        <f t="shared" si="15"/>
        <v>0</v>
      </c>
      <c r="I398" s="687">
        <f t="shared" si="15"/>
        <v>0</v>
      </c>
    </row>
    <row r="399" spans="1:9" ht="19.5" customHeight="1" thickBot="1" x14ac:dyDescent="0.35">
      <c r="A399" s="688" t="s">
        <v>436</v>
      </c>
      <c r="B399" s="687">
        <f>B393-B397</f>
        <v>0</v>
      </c>
      <c r="C399" s="687">
        <f t="shared" ref="C399:I399" si="16">C393-C397</f>
        <v>0</v>
      </c>
      <c r="D399" s="687">
        <f t="shared" si="16"/>
        <v>0</v>
      </c>
      <c r="E399" s="687">
        <f t="shared" si="16"/>
        <v>0</v>
      </c>
      <c r="F399" s="687">
        <f t="shared" si="16"/>
        <v>0</v>
      </c>
      <c r="G399" s="687">
        <f t="shared" si="16"/>
        <v>0</v>
      </c>
      <c r="H399" s="687">
        <f t="shared" si="16"/>
        <v>0</v>
      </c>
      <c r="I399" s="687">
        <f t="shared" si="16"/>
        <v>0</v>
      </c>
    </row>
    <row r="400" spans="1:9" s="647" customFormat="1" ht="19.5" customHeight="1" x14ac:dyDescent="0.3">
      <c r="A400" s="705"/>
      <c r="B400" s="706"/>
      <c r="C400" s="706"/>
      <c r="D400" s="706"/>
      <c r="E400" s="706"/>
      <c r="F400" s="706"/>
      <c r="G400" s="706"/>
      <c r="H400" s="706"/>
      <c r="I400" s="706"/>
    </row>
    <row r="401" spans="1:9" ht="12.75" customHeight="1" x14ac:dyDescent="0.3">
      <c r="A401" s="663" t="s">
        <v>216</v>
      </c>
      <c r="B401" s="650"/>
      <c r="C401" s="650"/>
    </row>
    <row r="402" spans="1:9" ht="14.4" x14ac:dyDescent="0.3">
      <c r="A402" s="21"/>
      <c r="B402" s="32"/>
      <c r="C402" s="32"/>
      <c r="E402" s="33"/>
      <c r="F402" s="33"/>
      <c r="G402" s="33"/>
      <c r="H402" s="33"/>
      <c r="I402" s="33"/>
    </row>
    <row r="403" spans="1:9" ht="29.4" thickBot="1" x14ac:dyDescent="0.35">
      <c r="A403" s="516" t="s">
        <v>92</v>
      </c>
      <c r="B403" s="517" t="s">
        <v>43</v>
      </c>
      <c r="C403" s="394" t="s">
        <v>97</v>
      </c>
    </row>
    <row r="404" spans="1:9" ht="14.4" x14ac:dyDescent="0.3">
      <c r="A404" s="507" t="s">
        <v>217</v>
      </c>
      <c r="B404" s="512">
        <v>37105.74</v>
      </c>
      <c r="C404" s="512">
        <v>28676.37</v>
      </c>
      <c r="D404" s="34"/>
      <c r="E404" s="34"/>
      <c r="F404" s="34"/>
      <c r="G404" s="34"/>
      <c r="H404" s="34"/>
    </row>
    <row r="405" spans="1:9" ht="14.4" x14ac:dyDescent="0.3">
      <c r="A405" s="508" t="s">
        <v>218</v>
      </c>
      <c r="B405" s="513">
        <v>6390.46</v>
      </c>
      <c r="C405" s="513">
        <v>2231.94</v>
      </c>
      <c r="D405" s="35"/>
      <c r="E405" s="35"/>
      <c r="F405" s="35"/>
      <c r="G405" s="35"/>
      <c r="H405" s="35"/>
    </row>
    <row r="406" spans="1:9" ht="14.4" x14ac:dyDescent="0.3">
      <c r="A406" s="508" t="s">
        <v>219</v>
      </c>
      <c r="B406" s="194">
        <v>129.99</v>
      </c>
      <c r="C406" s="513">
        <v>129.99</v>
      </c>
      <c r="D406" s="36"/>
      <c r="E406" s="36"/>
      <c r="F406" s="36"/>
      <c r="G406" s="36"/>
      <c r="H406" s="36"/>
    </row>
    <row r="407" spans="1:9" ht="14.4" x14ac:dyDescent="0.3">
      <c r="A407" s="509" t="s">
        <v>220</v>
      </c>
      <c r="B407" s="195">
        <f>B408+B411+B412+B413+B414</f>
        <v>7252339.1799999997</v>
      </c>
      <c r="C407" s="514">
        <f>C408+C411+C412+C413+C414</f>
        <v>5655008.9299999997</v>
      </c>
    </row>
    <row r="408" spans="1:9" ht="33" customHeight="1" x14ac:dyDescent="0.3">
      <c r="A408" s="463" t="s">
        <v>221</v>
      </c>
      <c r="B408" s="515">
        <v>387079.7</v>
      </c>
      <c r="C408" s="515">
        <f>C409-C410</f>
        <v>397327.85000000009</v>
      </c>
    </row>
    <row r="409" spans="1:9" ht="14.4" x14ac:dyDescent="0.3">
      <c r="A409" s="463" t="s">
        <v>222</v>
      </c>
      <c r="B409" s="515">
        <v>10038871.960000001</v>
      </c>
      <c r="C409" s="515">
        <v>1807160.98</v>
      </c>
    </row>
    <row r="410" spans="1:9" ht="54.75" customHeight="1" x14ac:dyDescent="0.3">
      <c r="A410" s="463" t="s">
        <v>223</v>
      </c>
      <c r="B410" s="515">
        <v>9651792.2599999998</v>
      </c>
      <c r="C410" s="515">
        <v>1409833.13</v>
      </c>
    </row>
    <row r="411" spans="1:9" ht="14.4" x14ac:dyDescent="0.3">
      <c r="A411" s="510" t="s">
        <v>224</v>
      </c>
      <c r="B411" s="423">
        <v>232390</v>
      </c>
      <c r="C411" s="423">
        <v>168237</v>
      </c>
    </row>
    <row r="412" spans="1:9" ht="14.4" x14ac:dyDescent="0.3">
      <c r="A412" s="510" t="s">
        <v>225</v>
      </c>
      <c r="B412" s="423">
        <v>3192704.58</v>
      </c>
      <c r="C412" s="423">
        <v>4173662.03</v>
      </c>
    </row>
    <row r="413" spans="1:9" ht="14.4" x14ac:dyDescent="0.3">
      <c r="A413" s="510" t="s">
        <v>226</v>
      </c>
      <c r="B413" s="423">
        <v>0</v>
      </c>
      <c r="C413" s="423">
        <v>0</v>
      </c>
    </row>
    <row r="414" spans="1:9" ht="14.4" x14ac:dyDescent="0.3">
      <c r="A414" s="510" t="s">
        <v>16</v>
      </c>
      <c r="B414" s="423">
        <v>3440164.9</v>
      </c>
      <c r="C414" s="423">
        <f>177186.32+181659.89+27896.46+529039.38</f>
        <v>915782.05</v>
      </c>
    </row>
    <row r="415" spans="1:9" ht="45.75" customHeight="1" thickBot="1" x14ac:dyDescent="0.35">
      <c r="A415" s="511" t="s">
        <v>227</v>
      </c>
      <c r="B415" s="194">
        <v>0</v>
      </c>
      <c r="C415" s="513">
        <v>0</v>
      </c>
    </row>
    <row r="416" spans="1:9" ht="14.4" x14ac:dyDescent="0.3">
      <c r="A416" s="518" t="s">
        <v>90</v>
      </c>
      <c r="B416" s="461">
        <f>SUM(B404+B405+B406+B407+B415)</f>
        <v>7295965.3700000001</v>
      </c>
      <c r="C416" s="462">
        <f>SUM(C404+C405+C406+C407+C415)</f>
        <v>5686047.2299999995</v>
      </c>
    </row>
    <row r="417" spans="1:4" ht="14.4" x14ac:dyDescent="0.3">
      <c r="A417" s="707" t="s">
        <v>229</v>
      </c>
      <c r="B417" s="33"/>
      <c r="C417" s="33"/>
      <c r="D417" s="33"/>
    </row>
    <row r="418" spans="1:4" ht="14.4" x14ac:dyDescent="0.3">
      <c r="A418" s="651" t="s">
        <v>387</v>
      </c>
      <c r="B418" s="50"/>
      <c r="C418" s="50"/>
    </row>
    <row r="419" spans="1:4" ht="43.5" customHeight="1" thickBot="1" x14ac:dyDescent="0.35">
      <c r="A419" s="539" t="s">
        <v>230</v>
      </c>
      <c r="B419" s="521" t="s">
        <v>412</v>
      </c>
    </row>
    <row r="420" spans="1:4" ht="43.5" customHeight="1" thickBot="1" x14ac:dyDescent="0.35">
      <c r="A420" s="288" t="s">
        <v>43</v>
      </c>
      <c r="B420" s="538" t="s">
        <v>97</v>
      </c>
    </row>
    <row r="421" spans="1:4" ht="14.4" x14ac:dyDescent="0.3">
      <c r="A421" s="519"/>
      <c r="B421" s="520"/>
    </row>
    <row r="424" spans="1:4" ht="14.4" x14ac:dyDescent="0.3">
      <c r="A424" s="732" t="s">
        <v>232</v>
      </c>
      <c r="B424" s="732"/>
      <c r="C424" s="732"/>
      <c r="D424" s="733"/>
    </row>
    <row r="425" spans="1:4" ht="14.25" customHeight="1" x14ac:dyDescent="0.3">
      <c r="A425" s="734" t="s">
        <v>233</v>
      </c>
      <c r="B425" s="734"/>
      <c r="C425" s="734"/>
    </row>
    <row r="426" spans="1:4" ht="14.4" x14ac:dyDescent="0.3">
      <c r="A426" s="651" t="s">
        <v>387</v>
      </c>
      <c r="B426" s="50"/>
      <c r="C426" s="50"/>
    </row>
    <row r="427" spans="1:4" ht="15" thickBot="1" x14ac:dyDescent="0.35">
      <c r="A427" s="525" t="s">
        <v>42</v>
      </c>
      <c r="B427" s="526" t="s">
        <v>234</v>
      </c>
      <c r="C427" s="443" t="s">
        <v>438</v>
      </c>
    </row>
    <row r="428" spans="1:4" ht="14.4" x14ac:dyDescent="0.3">
      <c r="A428" s="284" t="s">
        <v>235</v>
      </c>
      <c r="B428" s="196"/>
      <c r="C428" s="522"/>
    </row>
    <row r="429" spans="1:4" ht="14.4" x14ac:dyDescent="0.3">
      <c r="A429" s="285" t="s">
        <v>236</v>
      </c>
      <c r="B429" s="197"/>
      <c r="C429" s="523"/>
    </row>
    <row r="430" spans="1:4" ht="14.4" x14ac:dyDescent="0.3">
      <c r="A430" s="286" t="s">
        <v>237</v>
      </c>
      <c r="B430" s="198"/>
      <c r="C430" s="524"/>
    </row>
    <row r="431" spans="1:4" ht="14.4" x14ac:dyDescent="0.3">
      <c r="A431" s="287" t="s">
        <v>238</v>
      </c>
      <c r="B431" s="197"/>
      <c r="C431" s="523"/>
    </row>
    <row r="432" spans="1:4" ht="13.5" customHeight="1" x14ac:dyDescent="0.3">
      <c r="A432" s="286" t="s">
        <v>239</v>
      </c>
      <c r="B432" s="198"/>
      <c r="C432" s="524"/>
    </row>
    <row r="437" spans="1:3" ht="27.75" customHeight="1" x14ac:dyDescent="0.3">
      <c r="A437" s="721" t="s">
        <v>240</v>
      </c>
      <c r="B437" s="721"/>
      <c r="C437" s="721"/>
    </row>
    <row r="438" spans="1:3" x14ac:dyDescent="0.3">
      <c r="A438" s="38"/>
      <c r="B438" s="21"/>
      <c r="C438" s="21"/>
    </row>
    <row r="439" spans="1:3" ht="29.4" thickBot="1" x14ac:dyDescent="0.35">
      <c r="A439" s="398" t="s">
        <v>397</v>
      </c>
      <c r="B439" s="394" t="s">
        <v>241</v>
      </c>
      <c r="C439" s="425" t="s">
        <v>242</v>
      </c>
    </row>
    <row r="440" spans="1:3" ht="15" thickBot="1" x14ac:dyDescent="0.35">
      <c r="A440" s="592" t="s">
        <v>243</v>
      </c>
      <c r="B440" s="199">
        <f>B441+B446</f>
        <v>0</v>
      </c>
      <c r="C440" s="527">
        <f>C441+C446</f>
        <v>0</v>
      </c>
    </row>
    <row r="441" spans="1:3" ht="14.4" x14ac:dyDescent="0.3">
      <c r="A441" s="614" t="s">
        <v>244</v>
      </c>
      <c r="B441" s="200">
        <f>SUM(B443:B445)</f>
        <v>0</v>
      </c>
      <c r="C441" s="528">
        <f>SUM(C443:C445)</f>
        <v>0</v>
      </c>
    </row>
    <row r="442" spans="1:3" ht="14.4" x14ac:dyDescent="0.3">
      <c r="A442" s="615" t="s">
        <v>47</v>
      </c>
      <c r="B442" s="201"/>
      <c r="C442" s="529"/>
    </row>
    <row r="443" spans="1:3" ht="14.4" x14ac:dyDescent="0.3">
      <c r="A443" s="615"/>
      <c r="B443" s="201"/>
      <c r="C443" s="529"/>
    </row>
    <row r="444" spans="1:3" ht="14.4" x14ac:dyDescent="0.3">
      <c r="A444" s="615"/>
      <c r="B444" s="201"/>
      <c r="C444" s="529"/>
    </row>
    <row r="445" spans="1:3" ht="15" thickBot="1" x14ac:dyDescent="0.35">
      <c r="A445" s="616"/>
      <c r="B445" s="202"/>
      <c r="C445" s="530"/>
    </row>
    <row r="446" spans="1:3" ht="14.4" x14ac:dyDescent="0.3">
      <c r="A446" s="614" t="s">
        <v>245</v>
      </c>
      <c r="B446" s="200">
        <f>SUM(B448:B450)</f>
        <v>0</v>
      </c>
      <c r="C446" s="528">
        <f>SUM(C448:C450)</f>
        <v>0</v>
      </c>
    </row>
    <row r="447" spans="1:3" ht="14.4" x14ac:dyDescent="0.3">
      <c r="A447" s="615" t="s">
        <v>47</v>
      </c>
      <c r="B447" s="203"/>
      <c r="C447" s="531"/>
    </row>
    <row r="448" spans="1:3" ht="14.4" x14ac:dyDescent="0.3">
      <c r="A448" s="590"/>
      <c r="B448" s="203"/>
      <c r="C448" s="531"/>
    </row>
    <row r="449" spans="1:9" ht="14.4" x14ac:dyDescent="0.3">
      <c r="A449" s="590"/>
      <c r="B449" s="201"/>
      <c r="C449" s="529"/>
    </row>
    <row r="450" spans="1:9" ht="15" thickBot="1" x14ac:dyDescent="0.35">
      <c r="A450" s="617"/>
      <c r="B450" s="202"/>
      <c r="C450" s="530"/>
    </row>
    <row r="451" spans="1:9" ht="15" thickBot="1" x14ac:dyDescent="0.35">
      <c r="A451" s="592" t="s">
        <v>246</v>
      </c>
      <c r="B451" s="199">
        <f>B452+B457</f>
        <v>81682.13</v>
      </c>
      <c r="C451" s="527">
        <f>C452+C457</f>
        <v>11327071.560000001</v>
      </c>
    </row>
    <row r="452" spans="1:9" ht="14.4" x14ac:dyDescent="0.3">
      <c r="A452" s="618" t="s">
        <v>244</v>
      </c>
      <c r="B452" s="203">
        <f>SUM(B454:B456)</f>
        <v>0</v>
      </c>
      <c r="C452" s="532">
        <f>SUM(C454:C456)</f>
        <v>0</v>
      </c>
    </row>
    <row r="453" spans="1:9" ht="14.4" x14ac:dyDescent="0.3">
      <c r="A453" s="619" t="s">
        <v>237</v>
      </c>
      <c r="B453" s="201"/>
      <c r="C453" s="529"/>
    </row>
    <row r="454" spans="1:9" ht="14.4" x14ac:dyDescent="0.3">
      <c r="A454" s="619"/>
      <c r="B454" s="201">
        <v>0</v>
      </c>
      <c r="C454" s="529">
        <v>0</v>
      </c>
    </row>
    <row r="455" spans="1:9" ht="14.4" x14ac:dyDescent="0.3">
      <c r="A455" s="590"/>
      <c r="B455" s="201"/>
      <c r="C455" s="529"/>
    </row>
    <row r="456" spans="1:9" ht="15" thickBot="1" x14ac:dyDescent="0.35">
      <c r="A456" s="617"/>
      <c r="B456" s="202"/>
      <c r="C456" s="530"/>
      <c r="F456" s="25"/>
    </row>
    <row r="457" spans="1:9" ht="14.4" x14ac:dyDescent="0.3">
      <c r="A457" s="620" t="s">
        <v>245</v>
      </c>
      <c r="B457" s="204">
        <f>SUM(B459:B461)</f>
        <v>81682.13</v>
      </c>
      <c r="C457" s="533">
        <f>SUM(C459:C461)</f>
        <v>11327071.560000001</v>
      </c>
    </row>
    <row r="458" spans="1:9" ht="14.4" x14ac:dyDescent="0.3">
      <c r="A458" s="590" t="s">
        <v>47</v>
      </c>
      <c r="B458" s="201"/>
      <c r="C458" s="529"/>
    </row>
    <row r="459" spans="1:9" ht="14.4" x14ac:dyDescent="0.3">
      <c r="A459" s="653" t="s">
        <v>247</v>
      </c>
      <c r="B459" s="201">
        <f>66743.17+14938.96</f>
        <v>81682.13</v>
      </c>
      <c r="C459" s="529">
        <v>5000</v>
      </c>
    </row>
    <row r="460" spans="1:9" ht="14.4" x14ac:dyDescent="0.3">
      <c r="A460" s="621" t="s">
        <v>450</v>
      </c>
      <c r="B460" s="201">
        <v>0</v>
      </c>
      <c r="C460" s="529">
        <v>11322071.560000001</v>
      </c>
    </row>
    <row r="461" spans="1:9" ht="14.4" x14ac:dyDescent="0.3">
      <c r="A461" s="535"/>
      <c r="B461" s="536"/>
      <c r="C461" s="537"/>
    </row>
    <row r="462" spans="1:9" ht="14.4" x14ac:dyDescent="0.3">
      <c r="A462" s="37"/>
      <c r="B462" s="37"/>
      <c r="C462" s="37"/>
    </row>
    <row r="463" spans="1:9" ht="80.25" customHeight="1" x14ac:dyDescent="0.3">
      <c r="A463" s="663" t="s">
        <v>248</v>
      </c>
      <c r="B463" s="652"/>
      <c r="C463" s="652"/>
      <c r="D463" s="652"/>
      <c r="E463" s="641"/>
      <c r="F463" s="641"/>
      <c r="G463" s="641"/>
      <c r="H463" s="641"/>
      <c r="I463" s="641"/>
    </row>
    <row r="464" spans="1:9" ht="14.4" x14ac:dyDescent="0.3">
      <c r="A464" s="651" t="s">
        <v>387</v>
      </c>
      <c r="B464" s="50"/>
      <c r="C464" s="50"/>
      <c r="D464" s="39"/>
      <c r="E464" s="8"/>
      <c r="F464" s="8"/>
      <c r="G464" s="8"/>
      <c r="H464" s="8"/>
      <c r="I464" s="8"/>
    </row>
    <row r="465" spans="1:4" ht="216.6" thickBot="1" x14ac:dyDescent="0.35">
      <c r="A465" s="613" t="s">
        <v>249</v>
      </c>
      <c r="B465" s="611" t="s">
        <v>417</v>
      </c>
      <c r="C465" s="594" t="s">
        <v>45</v>
      </c>
    </row>
    <row r="466" spans="1:4" ht="24.75" customHeight="1" thickBot="1" x14ac:dyDescent="0.35">
      <c r="A466" s="612" t="s">
        <v>43</v>
      </c>
      <c r="B466" s="595" t="s">
        <v>44</v>
      </c>
      <c r="C466" s="610"/>
    </row>
    <row r="467" spans="1:4" ht="20.25" customHeight="1" x14ac:dyDescent="0.3">
      <c r="A467" s="519"/>
      <c r="B467" s="520"/>
      <c r="C467" s="442"/>
    </row>
    <row r="468" spans="1:4" ht="14.4" x14ac:dyDescent="0.3">
      <c r="A468" s="37"/>
      <c r="B468" s="37"/>
      <c r="C468" s="37"/>
    </row>
    <row r="469" spans="1:4" ht="14.4" x14ac:dyDescent="0.3">
      <c r="A469" s="37"/>
      <c r="B469" s="37"/>
      <c r="C469" s="37"/>
    </row>
    <row r="470" spans="1:4" ht="14.4" x14ac:dyDescent="0.3">
      <c r="A470" s="37"/>
      <c r="B470" s="37"/>
      <c r="C470" s="37"/>
    </row>
    <row r="471" spans="1:4" ht="14.4" x14ac:dyDescent="0.3">
      <c r="A471" s="37"/>
      <c r="B471" s="37"/>
      <c r="C471" s="37"/>
    </row>
    <row r="472" spans="1:4" ht="14.4" x14ac:dyDescent="0.3">
      <c r="A472" s="37"/>
      <c r="B472" s="37"/>
      <c r="C472" s="37"/>
    </row>
    <row r="473" spans="1:4" ht="14.4" x14ac:dyDescent="0.3">
      <c r="A473" s="37"/>
      <c r="B473" s="37"/>
      <c r="C473" s="37"/>
    </row>
    <row r="474" spans="1:4" ht="14.4" x14ac:dyDescent="0.3">
      <c r="A474" s="37"/>
      <c r="B474" s="37"/>
      <c r="C474" s="37"/>
    </row>
    <row r="475" spans="1:4" ht="14.4" x14ac:dyDescent="0.3">
      <c r="A475" s="37"/>
      <c r="B475" s="37"/>
      <c r="C475" s="37"/>
    </row>
    <row r="476" spans="1:4" ht="14.4" x14ac:dyDescent="0.3">
      <c r="A476" s="37"/>
      <c r="B476" s="37"/>
      <c r="C476" s="37"/>
    </row>
    <row r="477" spans="1:4" ht="14.4" x14ac:dyDescent="0.3">
      <c r="A477" s="708" t="s">
        <v>250</v>
      </c>
      <c r="B477" s="37"/>
      <c r="C477" s="37"/>
    </row>
    <row r="478" spans="1:4" ht="14.4" x14ac:dyDescent="0.3">
      <c r="A478" s="671" t="s">
        <v>251</v>
      </c>
      <c r="B478" s="662"/>
      <c r="C478" s="662"/>
    </row>
    <row r="479" spans="1:4" ht="14.4" x14ac:dyDescent="0.3">
      <c r="A479" s="37"/>
      <c r="B479" s="37"/>
      <c r="C479" s="37"/>
    </row>
    <row r="480" spans="1:4" ht="29.4" thickBot="1" x14ac:dyDescent="0.35">
      <c r="A480" s="399" t="s">
        <v>252</v>
      </c>
      <c r="B480" s="394" t="s">
        <v>241</v>
      </c>
      <c r="C480" s="425" t="s">
        <v>242</v>
      </c>
      <c r="D480" s="40"/>
    </row>
    <row r="481" spans="1:4" ht="14.25" customHeight="1" thickBot="1" x14ac:dyDescent="0.35">
      <c r="A481" s="593" t="s">
        <v>394</v>
      </c>
      <c r="B481" s="199">
        <f>SUM(B482:B489)</f>
        <v>9233953.5199999996</v>
      </c>
      <c r="C481" s="527">
        <f>SUM(C482:C489)</f>
        <v>11605236.129999999</v>
      </c>
      <c r="D481" s="41"/>
    </row>
    <row r="482" spans="1:4" ht="28.8" x14ac:dyDescent="0.3">
      <c r="A482" s="689" t="s">
        <v>253</v>
      </c>
      <c r="B482" s="693">
        <f>-15688.25+2749304.76+4710.27+395124.06+226922.75+1945345.93+12888.71+126488.87+114172.5</f>
        <v>5559269.5999999996</v>
      </c>
      <c r="C482" s="531">
        <f>14832.46+2846909.83-5945.04+442534.61+12533.71+156885.68-58342.17+966310.22+634125.79+2159320.43-557327.03</f>
        <v>6611838.4899999993</v>
      </c>
      <c r="D482" s="17"/>
    </row>
    <row r="483" spans="1:4" ht="14.4" x14ac:dyDescent="0.3">
      <c r="A483" s="690" t="s">
        <v>254</v>
      </c>
      <c r="B483" s="694">
        <f>773282.94+1811.74-674.34</f>
        <v>774420.34</v>
      </c>
      <c r="C483" s="529">
        <v>854279.33</v>
      </c>
      <c r="D483" s="17"/>
    </row>
    <row r="484" spans="1:4" ht="14.4" x14ac:dyDescent="0.3">
      <c r="A484" s="690" t="s">
        <v>255</v>
      </c>
      <c r="B484" s="694">
        <v>0</v>
      </c>
      <c r="C484" s="529">
        <v>0</v>
      </c>
      <c r="D484" s="17"/>
    </row>
    <row r="485" spans="1:4" ht="28.8" x14ac:dyDescent="0.3">
      <c r="A485" s="691" t="s">
        <v>256</v>
      </c>
      <c r="B485" s="694">
        <v>0</v>
      </c>
      <c r="C485" s="529">
        <v>0</v>
      </c>
      <c r="D485" s="17"/>
    </row>
    <row r="486" spans="1:4" ht="14.4" x14ac:dyDescent="0.3">
      <c r="A486" s="690" t="s">
        <v>257</v>
      </c>
      <c r="B486" s="694">
        <f>1742478.83+582362.62</f>
        <v>2324841.4500000002</v>
      </c>
      <c r="C486" s="529">
        <v>3510815.79</v>
      </c>
      <c r="D486" s="17"/>
    </row>
    <row r="487" spans="1:4" ht="28.8" x14ac:dyDescent="0.3">
      <c r="A487" s="690" t="s">
        <v>258</v>
      </c>
      <c r="B487" s="694">
        <v>0</v>
      </c>
      <c r="C487" s="529">
        <v>0</v>
      </c>
      <c r="D487" s="17"/>
    </row>
    <row r="488" spans="1:4" ht="14.4" x14ac:dyDescent="0.3">
      <c r="A488" s="690" t="s">
        <v>259</v>
      </c>
      <c r="B488" s="694">
        <f>556083.54</f>
        <v>556083.54</v>
      </c>
      <c r="C488" s="529">
        <v>557327.03</v>
      </c>
      <c r="D488" s="17"/>
    </row>
    <row r="489" spans="1:4" ht="29.4" thickBot="1" x14ac:dyDescent="0.35">
      <c r="A489" s="692" t="s">
        <v>260</v>
      </c>
      <c r="B489" s="695">
        <f>12646.69+29475.5-22962.05+178+0.45</f>
        <v>19338.590000000004</v>
      </c>
      <c r="C489" s="606">
        <f>100335.6-9113.76+2.45-20248.8</f>
        <v>70975.490000000005</v>
      </c>
      <c r="D489" s="17"/>
    </row>
    <row r="490" spans="1:4" ht="29.4" thickBot="1" x14ac:dyDescent="0.35">
      <c r="A490" s="593" t="s">
        <v>261</v>
      </c>
      <c r="B490" s="205">
        <v>505997.86</v>
      </c>
      <c r="C490" s="607">
        <v>8350.44</v>
      </c>
      <c r="D490" s="42"/>
    </row>
    <row r="491" spans="1:4" ht="29.4" thickBot="1" x14ac:dyDescent="0.35">
      <c r="A491" s="588" t="s">
        <v>262</v>
      </c>
      <c r="B491" s="206">
        <v>0</v>
      </c>
      <c r="C491" s="608">
        <v>0</v>
      </c>
      <c r="D491" s="42"/>
    </row>
    <row r="492" spans="1:4" ht="15" thickBot="1" x14ac:dyDescent="0.35">
      <c r="A492" s="588" t="s">
        <v>263</v>
      </c>
      <c r="B492" s="205">
        <v>0</v>
      </c>
      <c r="C492" s="607">
        <v>0</v>
      </c>
      <c r="D492" s="42"/>
    </row>
    <row r="493" spans="1:4" ht="15" thickBot="1" x14ac:dyDescent="0.35">
      <c r="A493" s="589" t="s">
        <v>264</v>
      </c>
      <c r="B493" s="205">
        <v>0</v>
      </c>
      <c r="C493" s="607">
        <v>0</v>
      </c>
      <c r="D493" s="42"/>
    </row>
    <row r="494" spans="1:4" ht="15" thickBot="1" x14ac:dyDescent="0.35">
      <c r="A494" s="589" t="s">
        <v>265</v>
      </c>
      <c r="B494" s="199">
        <f>B495+B503+B506+B509</f>
        <v>2816514.24</v>
      </c>
      <c r="C494" s="527">
        <f>SUM(C495+C503+C506+C509)</f>
        <v>1566359.99</v>
      </c>
      <c r="D494" s="41"/>
    </row>
    <row r="495" spans="1:4" ht="14.4" x14ac:dyDescent="0.3">
      <c r="A495" s="711" t="s">
        <v>266</v>
      </c>
      <c r="B495" s="712">
        <f>SUM(B496:B502)</f>
        <v>21798.37</v>
      </c>
      <c r="C495" s="712">
        <f>SUM(C496:C502)</f>
        <v>21736.5</v>
      </c>
      <c r="D495" s="43"/>
    </row>
    <row r="496" spans="1:4" ht="14.4" x14ac:dyDescent="0.3">
      <c r="A496" s="289" t="s">
        <v>267</v>
      </c>
      <c r="B496" s="207">
        <v>0</v>
      </c>
      <c r="C496" s="609">
        <v>0</v>
      </c>
      <c r="D496" s="44"/>
    </row>
    <row r="497" spans="1:5" ht="14.4" x14ac:dyDescent="0.3">
      <c r="A497" s="289" t="s">
        <v>268</v>
      </c>
      <c r="B497" s="207">
        <v>0</v>
      </c>
      <c r="C497" s="609">
        <v>0</v>
      </c>
      <c r="D497" s="44"/>
    </row>
    <row r="498" spans="1:5" ht="14.4" x14ac:dyDescent="0.3">
      <c r="A498" s="289" t="s">
        <v>269</v>
      </c>
      <c r="B498" s="207">
        <v>0</v>
      </c>
      <c r="C498" s="609">
        <v>0</v>
      </c>
      <c r="D498" s="44"/>
    </row>
    <row r="499" spans="1:5" ht="14.4" x14ac:dyDescent="0.3">
      <c r="A499" s="289" t="s">
        <v>270</v>
      </c>
      <c r="B499" s="207">
        <v>0</v>
      </c>
      <c r="C499" s="609">
        <v>0</v>
      </c>
      <c r="D499" s="44"/>
    </row>
    <row r="500" spans="1:5" ht="14.4" x14ac:dyDescent="0.3">
      <c r="A500" s="289" t="s">
        <v>271</v>
      </c>
      <c r="B500" s="207">
        <v>0</v>
      </c>
      <c r="C500" s="609">
        <v>0</v>
      </c>
      <c r="D500" s="44"/>
    </row>
    <row r="501" spans="1:5" ht="14.4" x14ac:dyDescent="0.3">
      <c r="A501" s="289" t="s">
        <v>272</v>
      </c>
      <c r="B501" s="207">
        <v>0</v>
      </c>
      <c r="C501" s="609">
        <v>0</v>
      </c>
      <c r="D501" s="44"/>
    </row>
    <row r="502" spans="1:5" ht="14.4" x14ac:dyDescent="0.3">
      <c r="A502" s="289" t="s">
        <v>273</v>
      </c>
      <c r="B502" s="207">
        <v>21798.37</v>
      </c>
      <c r="C502" s="609">
        <v>21736.5</v>
      </c>
      <c r="D502" s="44"/>
    </row>
    <row r="503" spans="1:5" ht="28.8" x14ac:dyDescent="0.3">
      <c r="A503" s="587" t="s">
        <v>274</v>
      </c>
      <c r="B503" s="208">
        <f>SUM(B504:B505)</f>
        <v>0</v>
      </c>
      <c r="C503" s="710">
        <f>SUM(C504:C505)</f>
        <v>0</v>
      </c>
      <c r="D503" s="43"/>
    </row>
    <row r="504" spans="1:5" ht="14.4" x14ac:dyDescent="0.3">
      <c r="A504" s="289" t="s">
        <v>275</v>
      </c>
      <c r="B504" s="207">
        <v>0</v>
      </c>
      <c r="C504" s="609">
        <v>0</v>
      </c>
      <c r="D504" s="44"/>
    </row>
    <row r="505" spans="1:5" ht="14.4" x14ac:dyDescent="0.3">
      <c r="A505" s="289" t="s">
        <v>276</v>
      </c>
      <c r="B505" s="207">
        <v>0</v>
      </c>
      <c r="C505" s="609">
        <v>0</v>
      </c>
      <c r="D505" s="44"/>
    </row>
    <row r="506" spans="1:5" ht="14.4" x14ac:dyDescent="0.3">
      <c r="A506" s="587" t="s">
        <v>277</v>
      </c>
      <c r="B506" s="208">
        <f>SUM(B507:B508)</f>
        <v>0</v>
      </c>
      <c r="C506" s="710">
        <f>SUM(C507:C508)</f>
        <v>0</v>
      </c>
      <c r="D506" s="43"/>
    </row>
    <row r="507" spans="1:5" ht="14.4" x14ac:dyDescent="0.3">
      <c r="A507" s="289" t="s">
        <v>278</v>
      </c>
      <c r="B507" s="207">
        <v>0</v>
      </c>
      <c r="C507" s="609">
        <v>0</v>
      </c>
      <c r="D507" s="44"/>
    </row>
    <row r="508" spans="1:5" ht="14.4" x14ac:dyDescent="0.3">
      <c r="A508" s="289" t="s">
        <v>279</v>
      </c>
      <c r="B508" s="207">
        <v>0</v>
      </c>
      <c r="C508" s="609">
        <v>0</v>
      </c>
      <c r="D508" s="44"/>
    </row>
    <row r="509" spans="1:5" ht="14.4" x14ac:dyDescent="0.3">
      <c r="A509" s="587" t="s">
        <v>280</v>
      </c>
      <c r="B509" s="208">
        <f>SUM(B510:B523)</f>
        <v>2794715.87</v>
      </c>
      <c r="C509" s="208">
        <f>SUM(C510:C523)</f>
        <v>1544623.49</v>
      </c>
      <c r="D509" s="43"/>
    </row>
    <row r="510" spans="1:5" ht="28.8" x14ac:dyDescent="0.3">
      <c r="A510" s="289" t="s">
        <v>281</v>
      </c>
      <c r="B510" s="122">
        <f>452449.53+220.77+2077+23.2</f>
        <v>454770.50000000006</v>
      </c>
      <c r="C510" s="585">
        <f>119.2+467230.69-36126.16+2922.7</f>
        <v>434146.43</v>
      </c>
      <c r="D510" s="17"/>
      <c r="E510" s="696"/>
    </row>
    <row r="511" spans="1:5" ht="14.4" x14ac:dyDescent="0.3">
      <c r="A511" s="289" t="s">
        <v>282</v>
      </c>
      <c r="B511" s="201">
        <v>0</v>
      </c>
      <c r="C511" s="529">
        <v>0</v>
      </c>
      <c r="D511" s="17"/>
    </row>
    <row r="512" spans="1:5" ht="28.8" x14ac:dyDescent="0.3">
      <c r="A512" s="289" t="s">
        <v>283</v>
      </c>
      <c r="B512" s="122">
        <v>0</v>
      </c>
      <c r="C512" s="585">
        <v>0</v>
      </c>
      <c r="D512" s="17"/>
    </row>
    <row r="513" spans="1:4" ht="14.4" x14ac:dyDescent="0.3">
      <c r="A513" s="289" t="s">
        <v>284</v>
      </c>
      <c r="B513" s="201">
        <v>0</v>
      </c>
      <c r="C513" s="529">
        <v>0</v>
      </c>
      <c r="D513" s="17"/>
    </row>
    <row r="514" spans="1:4" ht="14.4" x14ac:dyDescent="0.3">
      <c r="A514" s="289" t="s">
        <v>285</v>
      </c>
      <c r="B514" s="201">
        <v>0</v>
      </c>
      <c r="C514" s="529">
        <v>0</v>
      </c>
      <c r="D514" s="17"/>
    </row>
    <row r="515" spans="1:4" ht="14.4" x14ac:dyDescent="0.3">
      <c r="A515" s="289" t="s">
        <v>286</v>
      </c>
      <c r="B515" s="201">
        <v>0</v>
      </c>
      <c r="C515" s="529">
        <v>0</v>
      </c>
      <c r="D515" s="17"/>
    </row>
    <row r="516" spans="1:4" ht="14.4" x14ac:dyDescent="0.3">
      <c r="A516" s="289" t="s">
        <v>287</v>
      </c>
      <c r="B516" s="201">
        <v>0</v>
      </c>
      <c r="C516" s="529">
        <v>0</v>
      </c>
      <c r="D516" s="17"/>
    </row>
    <row r="517" spans="1:4" ht="14.4" x14ac:dyDescent="0.3">
      <c r="A517" s="713" t="s">
        <v>288</v>
      </c>
      <c r="B517" s="201">
        <v>0</v>
      </c>
      <c r="C517" s="529">
        <v>0</v>
      </c>
      <c r="D517" s="17"/>
    </row>
    <row r="518" spans="1:4" ht="14.4" x14ac:dyDescent="0.3">
      <c r="A518" s="713" t="s">
        <v>289</v>
      </c>
      <c r="B518" s="201">
        <v>0</v>
      </c>
      <c r="C518" s="529">
        <v>0</v>
      </c>
      <c r="D518" s="17"/>
    </row>
    <row r="519" spans="1:4" ht="14.4" x14ac:dyDescent="0.3">
      <c r="A519" s="713" t="s">
        <v>290</v>
      </c>
      <c r="B519" s="201">
        <v>1989899.16</v>
      </c>
      <c r="C519" s="529">
        <v>1211362.69</v>
      </c>
      <c r="D519" s="17"/>
    </row>
    <row r="520" spans="1:4" ht="14.4" x14ac:dyDescent="0.3">
      <c r="A520" s="713" t="s">
        <v>291</v>
      </c>
      <c r="B520" s="201">
        <v>0</v>
      </c>
      <c r="C520" s="529">
        <v>0</v>
      </c>
      <c r="D520" s="17"/>
    </row>
    <row r="521" spans="1:4" ht="14.4" x14ac:dyDescent="0.3">
      <c r="A521" s="713" t="s">
        <v>292</v>
      </c>
      <c r="B521" s="201">
        <v>0</v>
      </c>
      <c r="C521" s="529">
        <v>0</v>
      </c>
      <c r="D521" s="17"/>
    </row>
    <row r="522" spans="1:4" ht="14.4" x14ac:dyDescent="0.3">
      <c r="A522" s="714" t="s">
        <v>293</v>
      </c>
      <c r="B522" s="201">
        <v>0</v>
      </c>
      <c r="C522" s="529">
        <v>0</v>
      </c>
      <c r="D522" s="17"/>
    </row>
    <row r="523" spans="1:4" ht="15" thickBot="1" x14ac:dyDescent="0.35">
      <c r="A523" s="293" t="s">
        <v>439</v>
      </c>
      <c r="B523" s="202">
        <v>350046.21</v>
      </c>
      <c r="C523" s="529">
        <f>-103073.4+2187.77</f>
        <v>-100885.62999999999</v>
      </c>
      <c r="D523" s="17"/>
    </row>
    <row r="524" spans="1:4" ht="14.4" x14ac:dyDescent="0.3">
      <c r="A524" s="471" t="s">
        <v>294</v>
      </c>
      <c r="B524" s="486">
        <f>SUM(B481+B490+B491+B492+B493+B494)</f>
        <v>12556465.619999999</v>
      </c>
      <c r="C524" s="487">
        <f>SUM(C481+C490+C491+C492+C493+C494)</f>
        <v>13179946.559999999</v>
      </c>
      <c r="D524" s="41"/>
    </row>
    <row r="525" spans="1:4" ht="13.5" customHeight="1" x14ac:dyDescent="0.3">
      <c r="A525" s="700" t="s">
        <v>295</v>
      </c>
      <c r="B525" s="646"/>
      <c r="C525" s="646"/>
      <c r="D525" s="646"/>
    </row>
    <row r="526" spans="1:4" ht="14.4" x14ac:dyDescent="0.3">
      <c r="A526" s="37"/>
      <c r="B526" s="37"/>
      <c r="C526" s="23"/>
    </row>
    <row r="527" spans="1:4" ht="28.8" x14ac:dyDescent="0.3">
      <c r="A527" s="598" t="s">
        <v>296</v>
      </c>
      <c r="B527" s="599" t="s">
        <v>241</v>
      </c>
      <c r="C527" s="600" t="s">
        <v>242</v>
      </c>
    </row>
    <row r="528" spans="1:4" ht="14.4" x14ac:dyDescent="0.3">
      <c r="A528" s="294" t="s">
        <v>297</v>
      </c>
      <c r="B528" s="715">
        <v>5850407.9100000001</v>
      </c>
      <c r="C528" s="566">
        <f>7047092.2</f>
        <v>7047092.2000000002</v>
      </c>
    </row>
    <row r="529" spans="1:3" ht="14.4" x14ac:dyDescent="0.3">
      <c r="A529" s="601" t="s">
        <v>298</v>
      </c>
      <c r="B529" s="201">
        <v>0</v>
      </c>
      <c r="C529" s="534">
        <v>0</v>
      </c>
    </row>
    <row r="530" spans="1:3" ht="14.4" x14ac:dyDescent="0.3">
      <c r="A530" s="292" t="s">
        <v>299</v>
      </c>
      <c r="B530" s="715">
        <f>8166948.09+492092.54</f>
        <v>8659040.629999999</v>
      </c>
      <c r="C530" s="529">
        <f>252252.98+9555028.44</f>
        <v>9807281.4199999999</v>
      </c>
    </row>
    <row r="531" spans="1:3" ht="28.8" x14ac:dyDescent="0.3">
      <c r="A531" s="716" t="s">
        <v>300</v>
      </c>
      <c r="B531" s="715">
        <v>0</v>
      </c>
      <c r="C531" s="529">
        <v>0</v>
      </c>
    </row>
    <row r="532" spans="1:3" ht="43.2" x14ac:dyDescent="0.3">
      <c r="A532" s="289" t="s">
        <v>301</v>
      </c>
      <c r="B532" s="715">
        <v>0</v>
      </c>
      <c r="C532" s="529">
        <v>0</v>
      </c>
    </row>
    <row r="533" spans="1:3" ht="14.4" x14ac:dyDescent="0.3">
      <c r="A533" s="289" t="s">
        <v>302</v>
      </c>
      <c r="B533" s="715">
        <v>20397.849999999999</v>
      </c>
      <c r="C533" s="529">
        <f>22700.29</f>
        <v>22700.29</v>
      </c>
    </row>
    <row r="534" spans="1:3" ht="14.4" x14ac:dyDescent="0.3">
      <c r="A534" s="289" t="s">
        <v>303</v>
      </c>
      <c r="B534" s="715">
        <v>0</v>
      </c>
      <c r="C534" s="529">
        <v>1950.78</v>
      </c>
    </row>
    <row r="535" spans="1:3" ht="28.8" x14ac:dyDescent="0.3">
      <c r="A535" s="289" t="s">
        <v>304</v>
      </c>
      <c r="B535" s="715">
        <v>130153.74</v>
      </c>
      <c r="C535" s="529">
        <f>220030.31</f>
        <v>220030.31</v>
      </c>
    </row>
    <row r="536" spans="1:3" ht="28.8" x14ac:dyDescent="0.3">
      <c r="A536" s="510" t="s">
        <v>305</v>
      </c>
      <c r="B536" s="603">
        <v>0</v>
      </c>
      <c r="C536" s="529">
        <v>0</v>
      </c>
    </row>
    <row r="537" spans="1:3" ht="15" thickBot="1" x14ac:dyDescent="0.35">
      <c r="A537" s="604" t="s">
        <v>16</v>
      </c>
      <c r="B537" s="212">
        <v>0</v>
      </c>
      <c r="C537" s="566">
        <f>43176.42</f>
        <v>43176.42</v>
      </c>
    </row>
    <row r="538" spans="1:3" ht="14.4" x14ac:dyDescent="0.3">
      <c r="A538" s="605" t="s">
        <v>80</v>
      </c>
      <c r="B538" s="596">
        <f>SUM(B528:B537)</f>
        <v>14660000.129999999</v>
      </c>
      <c r="C538" s="597">
        <f>SUM(C528:C537)</f>
        <v>17142231.420000002</v>
      </c>
    </row>
    <row r="541" spans="1:3" ht="14.4" x14ac:dyDescent="0.3">
      <c r="A541" s="671" t="s">
        <v>306</v>
      </c>
      <c r="B541" s="662"/>
      <c r="C541" s="662"/>
    </row>
    <row r="542" spans="1:3" ht="14.4" x14ac:dyDescent="0.3">
      <c r="A542" s="37"/>
      <c r="B542" s="37"/>
      <c r="C542" s="37"/>
    </row>
    <row r="543" spans="1:3" ht="29.4" thickBot="1" x14ac:dyDescent="0.35">
      <c r="A543" s="583" t="s">
        <v>307</v>
      </c>
      <c r="B543" s="394" t="s">
        <v>241</v>
      </c>
      <c r="C543" s="425" t="s">
        <v>242</v>
      </c>
    </row>
    <row r="544" spans="1:3" ht="15" thickBot="1" x14ac:dyDescent="0.35">
      <c r="A544" s="262" t="s">
        <v>308</v>
      </c>
      <c r="B544" s="209">
        <f>B545+B546+B547</f>
        <v>1108633.51</v>
      </c>
      <c r="C544" s="580">
        <f>C545+C546+C547</f>
        <v>-1096169.5</v>
      </c>
    </row>
    <row r="545" spans="1:3" ht="14.4" x14ac:dyDescent="0.3">
      <c r="A545" s="659" t="s">
        <v>309</v>
      </c>
      <c r="B545" s="118">
        <v>1363517.84</v>
      </c>
      <c r="C545" s="281">
        <v>0</v>
      </c>
    </row>
    <row r="546" spans="1:3" ht="14.4" x14ac:dyDescent="0.3">
      <c r="A546" s="623" t="s">
        <v>310</v>
      </c>
      <c r="B546" s="122">
        <f>110000+7405.24+6300</f>
        <v>123705.24</v>
      </c>
      <c r="C546" s="279">
        <v>0</v>
      </c>
    </row>
    <row r="547" spans="1:3" ht="29.4" thickBot="1" x14ac:dyDescent="0.35">
      <c r="A547" s="657" t="s">
        <v>311</v>
      </c>
      <c r="B547" s="658">
        <f>-381103.69+2514.12</f>
        <v>-378589.57</v>
      </c>
      <c r="C547" s="578">
        <v>-1096169.5</v>
      </c>
    </row>
    <row r="548" spans="1:3" ht="15" thickBot="1" x14ac:dyDescent="0.35">
      <c r="A548" s="272" t="s">
        <v>312</v>
      </c>
      <c r="B548" s="209">
        <v>0</v>
      </c>
      <c r="C548" s="581">
        <v>0</v>
      </c>
    </row>
    <row r="549" spans="1:3" ht="15" thickBot="1" x14ac:dyDescent="0.35">
      <c r="A549" s="277" t="s">
        <v>313</v>
      </c>
      <c r="B549" s="210">
        <f>SUM(B550:B559)</f>
        <v>1172531.6200000003</v>
      </c>
      <c r="C549" s="582">
        <f>SUM(C550:C559)</f>
        <v>13052520.040000001</v>
      </c>
    </row>
    <row r="550" spans="1:3" ht="28.8" x14ac:dyDescent="0.3">
      <c r="A550" s="573" t="s">
        <v>441</v>
      </c>
      <c r="B550" s="584">
        <v>0</v>
      </c>
      <c r="C550" s="584">
        <v>0</v>
      </c>
    </row>
    <row r="551" spans="1:3" ht="14.4" x14ac:dyDescent="0.3">
      <c r="A551" s="577" t="s">
        <v>440</v>
      </c>
      <c r="B551" s="123">
        <v>0</v>
      </c>
      <c r="C551" s="123">
        <v>0</v>
      </c>
    </row>
    <row r="552" spans="1:3" ht="14.4" x14ac:dyDescent="0.3">
      <c r="A552" s="623" t="s">
        <v>314</v>
      </c>
      <c r="B552" s="122">
        <f>112562.97-5333.21-434.19+58.4-65958.75+38949.62+5928.35+10553.4+20897.19+296171.7+675502.64+2000</f>
        <v>1090898.1200000001</v>
      </c>
      <c r="C552" s="585">
        <f>128261.49+389641+578406.54+292.47+30283+122912.71+2730.88</f>
        <v>1252528.0899999999</v>
      </c>
    </row>
    <row r="553" spans="1:3" ht="28.8" x14ac:dyDescent="0.3">
      <c r="A553" s="623" t="s">
        <v>315</v>
      </c>
      <c r="B553" s="122">
        <f>10680.86+2846.48</f>
        <v>13527.34</v>
      </c>
      <c r="C553" s="279">
        <v>0</v>
      </c>
    </row>
    <row r="554" spans="1:3" ht="28.8" x14ac:dyDescent="0.3">
      <c r="A554" s="623" t="s">
        <v>316</v>
      </c>
      <c r="B554" s="122">
        <v>727.82</v>
      </c>
      <c r="C554" s="279">
        <f>1819.55+47867.8</f>
        <v>49687.350000000006</v>
      </c>
    </row>
    <row r="555" spans="1:3" ht="14.4" x14ac:dyDescent="0.3">
      <c r="A555" s="623" t="s">
        <v>317</v>
      </c>
      <c r="B555" s="655">
        <v>0</v>
      </c>
      <c r="C555" s="218">
        <v>3677.7</v>
      </c>
    </row>
    <row r="556" spans="1:3" ht="14.4" x14ac:dyDescent="0.3">
      <c r="A556" s="623" t="s">
        <v>318</v>
      </c>
      <c r="B556" s="655">
        <v>0</v>
      </c>
      <c r="C556" s="218">
        <v>11627580.24</v>
      </c>
    </row>
    <row r="557" spans="1:3" ht="43.2" x14ac:dyDescent="0.3">
      <c r="A557" s="623" t="s">
        <v>442</v>
      </c>
      <c r="B557" s="654">
        <v>0</v>
      </c>
      <c r="C557" s="279">
        <v>0</v>
      </c>
    </row>
    <row r="558" spans="1:3" ht="86.4" x14ac:dyDescent="0.3">
      <c r="A558" s="623" t="s">
        <v>319</v>
      </c>
      <c r="B558" s="654">
        <v>0</v>
      </c>
      <c r="C558" s="216">
        <v>0</v>
      </c>
    </row>
    <row r="559" spans="1:3" ht="101.4" thickBot="1" x14ac:dyDescent="0.35">
      <c r="A559" s="657" t="s">
        <v>416</v>
      </c>
      <c r="B559" s="656">
        <f>8793.2+1687.2+120+42431.25+4987.97+2000+7358.72</f>
        <v>67378.34</v>
      </c>
      <c r="C559" s="656">
        <f>12920.94+10994.83-479.78+47.34+1648.5+700.08+5516.8+110+130.4+187651.84+175.38-122912.71+91883.1-72110.2+2770.14</f>
        <v>119046.66000000003</v>
      </c>
    </row>
    <row r="560" spans="1:3" ht="14.4" x14ac:dyDescent="0.3">
      <c r="A560" s="569" t="s">
        <v>80</v>
      </c>
      <c r="B560" s="490">
        <f>SUM(B544+B548+B549)</f>
        <v>2281165.1300000004</v>
      </c>
      <c r="C560" s="454">
        <f>SUM(C544+C548+C549)</f>
        <v>11956350.540000001</v>
      </c>
    </row>
    <row r="561" spans="1:4" ht="13.5" customHeight="1" x14ac:dyDescent="0.3">
      <c r="A561" s="700" t="s">
        <v>320</v>
      </c>
      <c r="B561" s="646"/>
      <c r="C561" s="646"/>
      <c r="D561" s="646"/>
    </row>
    <row r="562" spans="1:4" ht="14.4" x14ac:dyDescent="0.3">
      <c r="A562" s="37"/>
      <c r="B562" s="37"/>
      <c r="C562" s="23"/>
      <c r="D562" s="23"/>
    </row>
    <row r="563" spans="1:4" ht="29.4" thickBot="1" x14ac:dyDescent="0.35">
      <c r="A563" s="399" t="s">
        <v>321</v>
      </c>
      <c r="B563" s="394" t="s">
        <v>241</v>
      </c>
      <c r="C563" s="425" t="s">
        <v>242</v>
      </c>
    </row>
    <row r="564" spans="1:4" ht="58.2" thickBot="1" x14ac:dyDescent="0.35">
      <c r="A564" s="274" t="s">
        <v>322</v>
      </c>
      <c r="B564" s="205">
        <v>0</v>
      </c>
      <c r="C564" s="570">
        <v>0</v>
      </c>
    </row>
    <row r="565" spans="1:4" ht="15" thickBot="1" x14ac:dyDescent="0.35">
      <c r="A565" s="262" t="s">
        <v>323</v>
      </c>
      <c r="B565" s="199">
        <f>SUM(B566+B567+B571)</f>
        <v>2714166.25</v>
      </c>
      <c r="C565" s="527">
        <f>SUM(C566+C567+C571)</f>
        <v>3862482.04</v>
      </c>
    </row>
    <row r="566" spans="1:4" ht="28.8" x14ac:dyDescent="0.3">
      <c r="A566" s="275" t="s">
        <v>324</v>
      </c>
      <c r="B566" s="170">
        <v>0</v>
      </c>
      <c r="C566" s="480">
        <v>0</v>
      </c>
    </row>
    <row r="567" spans="1:4" ht="14.4" x14ac:dyDescent="0.3">
      <c r="A567" s="276" t="s">
        <v>325</v>
      </c>
      <c r="B567" s="211">
        <f>SUM(B568:B570)</f>
        <v>2609625</v>
      </c>
      <c r="C567" s="121">
        <f>SUM(C568:C570)</f>
        <v>3034791.67</v>
      </c>
    </row>
    <row r="568" spans="1:4" ht="14.4" x14ac:dyDescent="0.3">
      <c r="A568" s="280" t="s">
        <v>79</v>
      </c>
      <c r="B568" s="208">
        <v>0</v>
      </c>
      <c r="C568" s="123">
        <v>0</v>
      </c>
    </row>
    <row r="569" spans="1:4" ht="28.8" x14ac:dyDescent="0.3">
      <c r="A569" s="280" t="s">
        <v>444</v>
      </c>
      <c r="B569" s="208">
        <v>0</v>
      </c>
      <c r="C569" s="123">
        <v>0</v>
      </c>
    </row>
    <row r="570" spans="1:4" ht="14.4" x14ac:dyDescent="0.3">
      <c r="A570" s="280" t="s">
        <v>443</v>
      </c>
      <c r="B570" s="534">
        <v>2609625</v>
      </c>
      <c r="C570" s="534">
        <v>3034791.67</v>
      </c>
    </row>
    <row r="571" spans="1:4" ht="14.4" x14ac:dyDescent="0.3">
      <c r="A571" s="273" t="s">
        <v>327</v>
      </c>
      <c r="B571" s="211">
        <f>SUM(B572:B576)</f>
        <v>104541.25</v>
      </c>
      <c r="C571" s="121">
        <f>SUM(C572:C576)</f>
        <v>827690.37000000011</v>
      </c>
    </row>
    <row r="572" spans="1:4" ht="28.8" x14ac:dyDescent="0.3">
      <c r="A572" s="280" t="s">
        <v>326</v>
      </c>
      <c r="B572" s="201">
        <v>0</v>
      </c>
      <c r="C572" s="534">
        <v>0</v>
      </c>
    </row>
    <row r="573" spans="1:4" ht="14.4" x14ac:dyDescent="0.3">
      <c r="A573" s="280" t="s">
        <v>328</v>
      </c>
      <c r="B573" s="201">
        <v>0</v>
      </c>
      <c r="C573" s="534">
        <v>9500</v>
      </c>
    </row>
    <row r="574" spans="1:4" ht="14.4" x14ac:dyDescent="0.3">
      <c r="A574" s="572" t="s">
        <v>329</v>
      </c>
      <c r="B574" s="534">
        <v>19674.599999999999</v>
      </c>
      <c r="C574" s="534">
        <v>299638.53000000003</v>
      </c>
    </row>
    <row r="575" spans="1:4" ht="14.4" x14ac:dyDescent="0.3">
      <c r="A575" s="572" t="s">
        <v>330</v>
      </c>
      <c r="B575" s="201">
        <v>0</v>
      </c>
      <c r="C575" s="534">
        <v>0</v>
      </c>
    </row>
    <row r="576" spans="1:4" ht="87" thickBot="1" x14ac:dyDescent="0.35">
      <c r="A576" s="283" t="s">
        <v>445</v>
      </c>
      <c r="B576" s="571">
        <f>16.15+191.82+10225+132+74253.68+48</f>
        <v>84866.65</v>
      </c>
      <c r="C576" s="571">
        <f>379195.2+111178.58+177.95+24987.57+3012.54</f>
        <v>518551.84</v>
      </c>
    </row>
    <row r="577" spans="1:6" ht="14.4" x14ac:dyDescent="0.3">
      <c r="A577" s="569" t="s">
        <v>331</v>
      </c>
      <c r="B577" s="490">
        <f>SUM(B564+B565)</f>
        <v>2714166.25</v>
      </c>
      <c r="C577" s="490">
        <f>SUM(C564+C565)</f>
        <v>3862482.04</v>
      </c>
    </row>
    <row r="579" spans="1:6" ht="14.4" x14ac:dyDescent="0.3">
      <c r="A579" s="701" t="s">
        <v>332</v>
      </c>
      <c r="B579" s="45"/>
      <c r="C579" s="45"/>
      <c r="D579" s="46"/>
      <c r="E579" s="46"/>
      <c r="F579" s="46"/>
    </row>
    <row r="580" spans="1:6" x14ac:dyDescent="0.3">
      <c r="A580" s="12"/>
      <c r="B580" s="12"/>
      <c r="C580" s="12"/>
    </row>
    <row r="581" spans="1:6" ht="29.4" thickBot="1" x14ac:dyDescent="0.35">
      <c r="A581" s="568" t="s">
        <v>397</v>
      </c>
      <c r="B581" s="517" t="s">
        <v>241</v>
      </c>
      <c r="C581" s="425" t="s">
        <v>242</v>
      </c>
    </row>
    <row r="582" spans="1:6" ht="15" thickBot="1" x14ac:dyDescent="0.35">
      <c r="A582" s="271" t="s">
        <v>333</v>
      </c>
      <c r="B582" s="199">
        <v>0</v>
      </c>
      <c r="C582" s="527">
        <v>0</v>
      </c>
    </row>
    <row r="583" spans="1:6" ht="15" thickBot="1" x14ac:dyDescent="0.35">
      <c r="A583" s="272" t="s">
        <v>334</v>
      </c>
      <c r="B583" s="199">
        <f>SUM(B584:B585)</f>
        <v>801322.7</v>
      </c>
      <c r="C583" s="527">
        <f>SUM(C584:C585)</f>
        <v>1253311.7399999998</v>
      </c>
    </row>
    <row r="584" spans="1:6" ht="57.6" x14ac:dyDescent="0.3">
      <c r="A584" s="573" t="s">
        <v>335</v>
      </c>
      <c r="B584" s="203">
        <v>801322.7</v>
      </c>
      <c r="C584" s="531">
        <f>-1137003.8+1475240.26+791210.57+82615.43+41249.28</f>
        <v>1253311.7399999998</v>
      </c>
    </row>
    <row r="585" spans="1:6" ht="29.4" thickBot="1" x14ac:dyDescent="0.35">
      <c r="A585" s="574" t="s">
        <v>336</v>
      </c>
      <c r="B585" s="212">
        <v>0</v>
      </c>
      <c r="C585" s="566">
        <v>0</v>
      </c>
    </row>
    <row r="586" spans="1:6" ht="15" thickBot="1" x14ac:dyDescent="0.35">
      <c r="A586" s="272" t="s">
        <v>337</v>
      </c>
      <c r="B586" s="199">
        <f>SUM(B587:B593)</f>
        <v>0</v>
      </c>
      <c r="C586" s="527">
        <f>SUM(C587:C593)</f>
        <v>0</v>
      </c>
    </row>
    <row r="587" spans="1:6" ht="14.4" x14ac:dyDescent="0.3">
      <c r="A587" s="575" t="s">
        <v>338</v>
      </c>
      <c r="B587" s="213">
        <v>0</v>
      </c>
      <c r="C587" s="567">
        <v>0</v>
      </c>
    </row>
    <row r="588" spans="1:6" ht="14.4" x14ac:dyDescent="0.3">
      <c r="A588" s="576" t="s">
        <v>339</v>
      </c>
      <c r="B588" s="203">
        <v>0</v>
      </c>
      <c r="C588" s="531">
        <v>0</v>
      </c>
    </row>
    <row r="589" spans="1:6" ht="14.4" x14ac:dyDescent="0.3">
      <c r="A589" s="577" t="s">
        <v>340</v>
      </c>
      <c r="B589" s="203">
        <v>0</v>
      </c>
      <c r="C589" s="531">
        <v>0</v>
      </c>
    </row>
    <row r="590" spans="1:6" ht="28.8" x14ac:dyDescent="0.3">
      <c r="A590" s="577" t="s">
        <v>341</v>
      </c>
      <c r="B590" s="201">
        <v>0</v>
      </c>
      <c r="C590" s="529">
        <v>0</v>
      </c>
    </row>
    <row r="591" spans="1:6" ht="14.4" x14ac:dyDescent="0.3">
      <c r="A591" s="577" t="s">
        <v>342</v>
      </c>
      <c r="B591" s="212">
        <v>0</v>
      </c>
      <c r="C591" s="566">
        <v>0</v>
      </c>
    </row>
    <row r="592" spans="1:6" ht="28.8" x14ac:dyDescent="0.3">
      <c r="A592" s="577" t="s">
        <v>343</v>
      </c>
      <c r="B592" s="212">
        <v>0</v>
      </c>
      <c r="C592" s="566">
        <v>0</v>
      </c>
    </row>
    <row r="593" spans="1:3" ht="15" thickBot="1" x14ac:dyDescent="0.35">
      <c r="A593" s="578" t="s">
        <v>446</v>
      </c>
      <c r="B593" s="212">
        <v>0</v>
      </c>
      <c r="C593" s="566">
        <v>0</v>
      </c>
    </row>
    <row r="594" spans="1:3" ht="14.4" x14ac:dyDescent="0.3">
      <c r="A594" s="569" t="s">
        <v>80</v>
      </c>
      <c r="B594" s="490">
        <f>B582+B583+B586</f>
        <v>801322.7</v>
      </c>
      <c r="C594" s="454">
        <f>C582+C583+C586</f>
        <v>1253311.7399999998</v>
      </c>
    </row>
    <row r="596" spans="1:3" ht="14.4" x14ac:dyDescent="0.3">
      <c r="A596" s="721" t="s">
        <v>344</v>
      </c>
      <c r="B596" s="721"/>
      <c r="C596" s="721"/>
    </row>
    <row r="597" spans="1:3" x14ac:dyDescent="0.3">
      <c r="A597" s="38"/>
      <c r="B597" s="21"/>
      <c r="C597" s="21"/>
    </row>
    <row r="598" spans="1:3" ht="29.4" thickBot="1" x14ac:dyDescent="0.35">
      <c r="A598" s="399" t="s">
        <v>397</v>
      </c>
      <c r="B598" s="394" t="s">
        <v>241</v>
      </c>
      <c r="C598" s="425" t="s">
        <v>242</v>
      </c>
    </row>
    <row r="599" spans="1:3" ht="15" thickBot="1" x14ac:dyDescent="0.35">
      <c r="A599" s="262" t="s">
        <v>334</v>
      </c>
      <c r="B599" s="199">
        <f>B600+B601</f>
        <v>0</v>
      </c>
      <c r="C599" s="527">
        <f>C600+C601</f>
        <v>0</v>
      </c>
    </row>
    <row r="600" spans="1:3" ht="14.4" x14ac:dyDescent="0.3">
      <c r="A600" s="575" t="s">
        <v>345</v>
      </c>
      <c r="B600" s="200">
        <v>0</v>
      </c>
      <c r="C600" s="564">
        <v>0</v>
      </c>
    </row>
    <row r="601" spans="1:3" ht="15" thickBot="1" x14ac:dyDescent="0.35">
      <c r="A601" s="576" t="s">
        <v>346</v>
      </c>
      <c r="B601" s="202">
        <v>0</v>
      </c>
      <c r="C601" s="530">
        <v>0</v>
      </c>
    </row>
    <row r="602" spans="1:3" ht="15" thickBot="1" x14ac:dyDescent="0.35">
      <c r="A602" s="262" t="s">
        <v>347</v>
      </c>
      <c r="B602" s="199">
        <f>SUM(B603:B608)</f>
        <v>546759.17999999993</v>
      </c>
      <c r="C602" s="527">
        <f>SUM(C603:C608)</f>
        <v>296175.69</v>
      </c>
    </row>
    <row r="603" spans="1:3" ht="14.4" x14ac:dyDescent="0.3">
      <c r="A603" s="282" t="s">
        <v>348</v>
      </c>
      <c r="B603" s="201">
        <v>0</v>
      </c>
      <c r="C603" s="534">
        <v>0</v>
      </c>
    </row>
    <row r="604" spans="1:3" ht="28.8" x14ac:dyDescent="0.3">
      <c r="A604" s="577" t="s">
        <v>349</v>
      </c>
      <c r="B604" s="201">
        <v>0</v>
      </c>
      <c r="C604" s="534">
        <v>0</v>
      </c>
    </row>
    <row r="605" spans="1:3" ht="28.8" x14ac:dyDescent="0.3">
      <c r="A605" s="577" t="s">
        <v>350</v>
      </c>
      <c r="B605" s="565">
        <f>338075.18+208684</f>
        <v>546759.17999999993</v>
      </c>
      <c r="C605" s="565">
        <v>296175.69</v>
      </c>
    </row>
    <row r="606" spans="1:3" ht="14.4" x14ac:dyDescent="0.3">
      <c r="A606" s="577" t="s">
        <v>351</v>
      </c>
      <c r="B606" s="212">
        <v>0</v>
      </c>
      <c r="C606" s="565">
        <v>0</v>
      </c>
    </row>
    <row r="607" spans="1:3" ht="14.4" x14ac:dyDescent="0.3">
      <c r="A607" s="577" t="s">
        <v>352</v>
      </c>
      <c r="B607" s="212">
        <v>0</v>
      </c>
      <c r="C607" s="565">
        <v>0</v>
      </c>
    </row>
    <row r="608" spans="1:3" ht="15" thickBot="1" x14ac:dyDescent="0.35">
      <c r="A608" s="579" t="s">
        <v>122</v>
      </c>
      <c r="B608" s="212">
        <v>0</v>
      </c>
      <c r="C608" s="565">
        <v>0</v>
      </c>
    </row>
    <row r="609" spans="1:6" ht="14.4" x14ac:dyDescent="0.3">
      <c r="A609" s="488"/>
      <c r="B609" s="490">
        <f>SUM(B599+B602)</f>
        <v>546759.17999999993</v>
      </c>
      <c r="C609" s="454">
        <f>SUM(C599+C602)</f>
        <v>296175.69</v>
      </c>
    </row>
    <row r="615" spans="1:6" ht="15.6" x14ac:dyDescent="0.3">
      <c r="A615" s="737" t="s">
        <v>353</v>
      </c>
      <c r="B615" s="737"/>
      <c r="C615" s="737"/>
      <c r="D615" s="737"/>
      <c r="E615" s="737"/>
      <c r="F615" s="737"/>
    </row>
    <row r="616" spans="1:6" x14ac:dyDescent="0.3">
      <c r="A616" s="47"/>
    </row>
    <row r="617" spans="1:6" ht="57.75" customHeight="1" thickBot="1" x14ac:dyDescent="0.35">
      <c r="A617" s="562" t="s">
        <v>354</v>
      </c>
      <c r="B617" s="563" t="s">
        <v>231</v>
      </c>
      <c r="C617" s="563" t="s">
        <v>413</v>
      </c>
      <c r="D617" s="563" t="s">
        <v>414</v>
      </c>
      <c r="E617" s="563" t="s">
        <v>415</v>
      </c>
    </row>
    <row r="618" spans="1:6" ht="30.75" customHeight="1" thickBot="1" x14ac:dyDescent="0.35">
      <c r="A618" s="561"/>
      <c r="B618" s="214" t="s">
        <v>228</v>
      </c>
      <c r="C618" s="140" t="s">
        <v>355</v>
      </c>
      <c r="D618" s="215" t="s">
        <v>243</v>
      </c>
      <c r="E618" s="140" t="s">
        <v>246</v>
      </c>
    </row>
    <row r="619" spans="1:6" ht="28.8" x14ac:dyDescent="0.3">
      <c r="A619" s="265" t="s">
        <v>356</v>
      </c>
      <c r="B619" s="278">
        <f>SUM(B620:B622)</f>
        <v>4368</v>
      </c>
      <c r="C619" s="278">
        <f>SUM(C620:C622)</f>
        <v>145185.16</v>
      </c>
      <c r="D619" s="278">
        <f>SUM(D620:D622)</f>
        <v>528657.47</v>
      </c>
      <c r="E619" s="122">
        <f>SUM(E620:E622)</f>
        <v>342039.94</v>
      </c>
    </row>
    <row r="620" spans="1:6" ht="28.8" x14ac:dyDescent="0.3">
      <c r="A620" s="266" t="s">
        <v>357</v>
      </c>
      <c r="B620" s="278">
        <v>4368</v>
      </c>
      <c r="C620" s="122">
        <v>145185.16</v>
      </c>
      <c r="D620" s="279">
        <v>528657.47</v>
      </c>
      <c r="E620" s="122">
        <v>342039.94</v>
      </c>
    </row>
    <row r="621" spans="1:6" ht="14.4" x14ac:dyDescent="0.3">
      <c r="A621" s="266" t="s">
        <v>358</v>
      </c>
      <c r="B621" s="278"/>
      <c r="C621" s="122"/>
      <c r="D621" s="279"/>
      <c r="E621" s="122"/>
    </row>
    <row r="622" spans="1:6" ht="14.4" x14ac:dyDescent="0.3">
      <c r="A622" s="266" t="s">
        <v>358</v>
      </c>
      <c r="B622" s="278"/>
      <c r="C622" s="122"/>
      <c r="D622" s="279"/>
      <c r="E622" s="122"/>
    </row>
    <row r="623" spans="1:6" ht="14.4" x14ac:dyDescent="0.3">
      <c r="A623" s="267" t="s">
        <v>359</v>
      </c>
      <c r="B623" s="278"/>
      <c r="C623" s="122"/>
      <c r="D623" s="279"/>
      <c r="E623" s="122"/>
    </row>
    <row r="624" spans="1:6" ht="15" thickBot="1" x14ac:dyDescent="0.35">
      <c r="A624" s="269" t="s">
        <v>360</v>
      </c>
      <c r="B624" s="216"/>
      <c r="C624" s="217"/>
      <c r="D624" s="218"/>
      <c r="E624" s="217"/>
    </row>
    <row r="625" spans="1:6" ht="14.4" x14ac:dyDescent="0.3">
      <c r="A625" s="384" t="s">
        <v>123</v>
      </c>
      <c r="B625" s="490">
        <f>B619+B623+B624</f>
        <v>4368</v>
      </c>
      <c r="C625" s="490">
        <f>C619+C623+C624</f>
        <v>145185.16</v>
      </c>
      <c r="D625" s="490">
        <f>D619+D623+D624</f>
        <v>528657.47</v>
      </c>
      <c r="E625" s="490">
        <f>E619+E623+E624</f>
        <v>342039.94</v>
      </c>
    </row>
    <row r="628" spans="1:6" ht="54.75" customHeight="1" x14ac:dyDescent="0.3">
      <c r="A628" s="652" t="s">
        <v>361</v>
      </c>
      <c r="B628" s="652"/>
      <c r="C628" s="652"/>
      <c r="D628" s="652"/>
      <c r="E628" s="650"/>
      <c r="F628" s="650"/>
    </row>
    <row r="630" spans="1:6" ht="14.25" customHeight="1" x14ac:dyDescent="0.3">
      <c r="A630" s="724" t="s">
        <v>386</v>
      </c>
      <c r="B630" s="724"/>
      <c r="C630" s="724"/>
      <c r="D630" s="724"/>
    </row>
    <row r="631" spans="1:6" hidden="1" x14ac:dyDescent="0.3">
      <c r="A631" s="14"/>
    </row>
    <row r="632" spans="1:6" ht="72.599999999999994" thickBot="1" x14ac:dyDescent="0.35">
      <c r="A632" s="382" t="s">
        <v>30</v>
      </c>
      <c r="B632" s="556" t="s">
        <v>362</v>
      </c>
      <c r="C632" s="557" t="s">
        <v>363</v>
      </c>
    </row>
    <row r="633" spans="1:6" ht="14.4" x14ac:dyDescent="0.3">
      <c r="A633" s="558" t="s">
        <v>364</v>
      </c>
      <c r="B633" s="559">
        <v>174</v>
      </c>
      <c r="C633" s="560">
        <v>173</v>
      </c>
    </row>
    <row r="635" spans="1:6" ht="14.4" x14ac:dyDescent="0.3">
      <c r="A635" s="33" t="s">
        <v>365</v>
      </c>
      <c r="B635" s="8"/>
      <c r="C635" s="8"/>
      <c r="D635" s="8"/>
      <c r="E635" s="8"/>
    </row>
    <row r="636" spans="1:6" ht="15.6" x14ac:dyDescent="0.3">
      <c r="A636" s="52" t="s">
        <v>388</v>
      </c>
      <c r="B636" s="48"/>
      <c r="C636" s="48"/>
    </row>
    <row r="637" spans="1:6" ht="72" customHeight="1" thickBot="1" x14ac:dyDescent="0.35">
      <c r="A637" s="261" t="s">
        <v>366</v>
      </c>
      <c r="B637" s="141" t="s">
        <v>367</v>
      </c>
      <c r="C637" s="141" t="s">
        <v>138</v>
      </c>
      <c r="D637" s="382" t="s">
        <v>368</v>
      </c>
      <c r="E637" s="495" t="s">
        <v>369</v>
      </c>
    </row>
    <row r="638" spans="1:6" ht="14.4" x14ac:dyDescent="0.3">
      <c r="A638" s="551" t="s">
        <v>77</v>
      </c>
      <c r="B638" s="120"/>
      <c r="C638" s="120"/>
      <c r="D638" s="219"/>
      <c r="E638" s="119"/>
    </row>
    <row r="639" spans="1:6" ht="14.4" x14ac:dyDescent="0.3">
      <c r="A639" s="552" t="s">
        <v>78</v>
      </c>
      <c r="B639" s="108"/>
      <c r="C639" s="108"/>
      <c r="D639" s="107"/>
      <c r="E639" s="553"/>
    </row>
    <row r="640" spans="1:6" ht="14.4" x14ac:dyDescent="0.3">
      <c r="A640" s="552" t="s">
        <v>370</v>
      </c>
      <c r="B640" s="108"/>
      <c r="C640" s="108"/>
      <c r="D640" s="107"/>
      <c r="E640" s="553"/>
    </row>
    <row r="641" spans="1:5" ht="14.4" x14ac:dyDescent="0.3">
      <c r="A641" s="552" t="s">
        <v>371</v>
      </c>
      <c r="B641" s="108"/>
      <c r="C641" s="108"/>
      <c r="D641" s="107"/>
      <c r="E641" s="553"/>
    </row>
    <row r="642" spans="1:5" ht="14.4" x14ac:dyDescent="0.3">
      <c r="A642" s="552" t="s">
        <v>372</v>
      </c>
      <c r="B642" s="108"/>
      <c r="C642" s="108"/>
      <c r="D642" s="107"/>
      <c r="E642" s="553"/>
    </row>
    <row r="643" spans="1:5" ht="14.4" x14ac:dyDescent="0.3">
      <c r="A643" s="552" t="s">
        <v>373</v>
      </c>
      <c r="B643" s="108"/>
      <c r="C643" s="108"/>
      <c r="D643" s="107"/>
      <c r="E643" s="553"/>
    </row>
    <row r="644" spans="1:5" ht="14.4" x14ac:dyDescent="0.3">
      <c r="A644" s="552" t="s">
        <v>374</v>
      </c>
      <c r="B644" s="108"/>
      <c r="C644" s="108"/>
      <c r="D644" s="107"/>
      <c r="E644" s="553"/>
    </row>
    <row r="645" spans="1:5" ht="14.4" x14ac:dyDescent="0.3">
      <c r="A645" s="554" t="s">
        <v>375</v>
      </c>
      <c r="B645" s="111"/>
      <c r="C645" s="111"/>
      <c r="D645" s="110"/>
      <c r="E645" s="555"/>
    </row>
    <row r="647" spans="1:5" ht="14.4" x14ac:dyDescent="0.3">
      <c r="A647" s="33" t="s">
        <v>376</v>
      </c>
      <c r="B647" s="49"/>
      <c r="C647" s="49"/>
      <c r="D647" s="49"/>
      <c r="E647" s="49"/>
    </row>
    <row r="648" spans="1:5" ht="15.6" x14ac:dyDescent="0.3">
      <c r="A648" s="52" t="s">
        <v>388</v>
      </c>
      <c r="B648" s="48"/>
      <c r="C648" s="48"/>
    </row>
    <row r="649" spans="1:5" ht="56.25" customHeight="1" thickBot="1" x14ac:dyDescent="0.35">
      <c r="A649" s="261" t="s">
        <v>366</v>
      </c>
      <c r="B649" s="141" t="s">
        <v>367</v>
      </c>
      <c r="C649" s="141" t="s">
        <v>138</v>
      </c>
      <c r="D649" s="382" t="s">
        <v>377</v>
      </c>
      <c r="E649" s="495" t="s">
        <v>369</v>
      </c>
    </row>
    <row r="650" spans="1:5" ht="14.4" x14ac:dyDescent="0.3">
      <c r="A650" s="551" t="s">
        <v>77</v>
      </c>
      <c r="B650" s="120"/>
      <c r="C650" s="120"/>
      <c r="D650" s="219"/>
      <c r="E650" s="119"/>
    </row>
    <row r="651" spans="1:5" ht="14.4" x14ac:dyDescent="0.3">
      <c r="A651" s="552" t="s">
        <v>78</v>
      </c>
      <c r="B651" s="108"/>
      <c r="C651" s="108"/>
      <c r="D651" s="107"/>
      <c r="E651" s="553"/>
    </row>
    <row r="652" spans="1:5" ht="14.4" x14ac:dyDescent="0.3">
      <c r="A652" s="552" t="s">
        <v>370</v>
      </c>
      <c r="B652" s="108"/>
      <c r="C652" s="108"/>
      <c r="D652" s="107"/>
      <c r="E652" s="553"/>
    </row>
    <row r="653" spans="1:5" ht="14.4" x14ac:dyDescent="0.3">
      <c r="A653" s="552" t="s">
        <v>371</v>
      </c>
      <c r="B653" s="108"/>
      <c r="C653" s="108"/>
      <c r="D653" s="107"/>
      <c r="E653" s="553"/>
    </row>
    <row r="654" spans="1:5" ht="14.4" x14ac:dyDescent="0.3">
      <c r="A654" s="552" t="s">
        <v>372</v>
      </c>
      <c r="B654" s="108"/>
      <c r="C654" s="108"/>
      <c r="D654" s="107"/>
      <c r="E654" s="553"/>
    </row>
    <row r="655" spans="1:5" ht="14.4" x14ac:dyDescent="0.3">
      <c r="A655" s="552" t="s">
        <v>373</v>
      </c>
      <c r="B655" s="108"/>
      <c r="C655" s="108"/>
      <c r="D655" s="107"/>
      <c r="E655" s="553"/>
    </row>
    <row r="656" spans="1:5" ht="14.4" x14ac:dyDescent="0.3">
      <c r="A656" s="552" t="s">
        <v>374</v>
      </c>
      <c r="B656" s="108"/>
      <c r="C656" s="108"/>
      <c r="D656" s="107"/>
      <c r="E656" s="553"/>
    </row>
    <row r="657" spans="1:7" ht="14.4" x14ac:dyDescent="0.3">
      <c r="A657" s="554" t="s">
        <v>375</v>
      </c>
      <c r="B657" s="111"/>
      <c r="C657" s="111"/>
      <c r="D657" s="110"/>
      <c r="E657" s="555"/>
    </row>
    <row r="665" spans="1:7" ht="14.4" x14ac:dyDescent="0.3">
      <c r="A665" s="50"/>
      <c r="B665" s="50"/>
      <c r="C665" s="651"/>
      <c r="D665" s="50"/>
      <c r="E665" s="50"/>
      <c r="F665" s="50"/>
    </row>
    <row r="666" spans="1:7" ht="15" customHeight="1" x14ac:dyDescent="0.3">
      <c r="A666" s="51" t="s">
        <v>378</v>
      </c>
      <c r="B666" s="51"/>
      <c r="C666" s="735" t="s">
        <v>379</v>
      </c>
      <c r="D666" s="736"/>
      <c r="E666" s="51"/>
      <c r="F666" s="722" t="s">
        <v>380</v>
      </c>
      <c r="G666" s="722"/>
    </row>
    <row r="667" spans="1:7" ht="14.4" x14ac:dyDescent="0.3">
      <c r="A667" s="51" t="s">
        <v>381</v>
      </c>
      <c r="B667" s="23"/>
      <c r="C667" s="722" t="s">
        <v>382</v>
      </c>
      <c r="D667" s="723"/>
      <c r="E667" s="51"/>
      <c r="F667" s="722" t="s">
        <v>383</v>
      </c>
      <c r="G667" s="722"/>
    </row>
  </sheetData>
  <mergeCells count="15">
    <mergeCell ref="A437:C437"/>
    <mergeCell ref="C667:D667"/>
    <mergeCell ref="F667:G667"/>
    <mergeCell ref="A630:D630"/>
    <mergeCell ref="F2:J2"/>
    <mergeCell ref="A71:C71"/>
    <mergeCell ref="A117:D117"/>
    <mergeCell ref="A372:E372"/>
    <mergeCell ref="A596:C596"/>
    <mergeCell ref="A424:D424"/>
    <mergeCell ref="A425:C425"/>
    <mergeCell ref="C666:D666"/>
    <mergeCell ref="F666:G666"/>
    <mergeCell ref="A615:F615"/>
    <mergeCell ref="A378:I378"/>
  </mergeCells>
  <pageMargins left="0.11811023622047245" right="0.11811023622047245" top="0.86614173228346458" bottom="0.63364583333333335" header="0.31496062992125984" footer="0.31496062992125984"/>
  <pageSetup paperSize="9" scale="25" fitToHeight="0" orientation="landscape" r:id="rId1"/>
  <headerFooter>
    <oddHeader>&amp;CUrząd Dzielnicy Ursus m.st. Warszawy
Informacja dodatkowa do sprawozdania finansowego za rok obrotowy zakończony 31 grudnia 2022  r.
II. Dodatkowe informacje i objaśnienia</oddHeader>
    <oddFooter>&amp;CWprowadzenie oraz dodatkowe  informacje i objaśnienia stanowią integralną część sprawozdania finansowego</oddFooter>
  </headerFooter>
  <rowBreaks count="27" manualBreakCount="27">
    <brk id="35" max="16383" man="1"/>
    <brk id="69" max="16383" man="1"/>
    <brk id="93" max="16383" man="1"/>
    <brk id="116" max="16383" man="1"/>
    <brk id="143" max="8" man="1"/>
    <brk id="160" max="16383" man="1"/>
    <brk id="173" max="16383" man="1"/>
    <brk id="209" max="16383" man="1"/>
    <brk id="238" max="16383" man="1"/>
    <brk id="261" max="16383" man="1"/>
    <brk id="274" max="16383" man="1"/>
    <brk id="311" max="16383" man="1"/>
    <brk id="340" max="16383" man="1"/>
    <brk id="375" max="16383" man="1"/>
    <brk id="399" max="16383" man="1"/>
    <brk id="416" max="16383" man="1"/>
    <brk id="435" max="16383" man="1"/>
    <brk id="462" max="16383" man="1"/>
    <brk id="476" max="8" man="1"/>
    <brk id="524" max="16383" man="1"/>
    <brk id="540" max="16383" man="1"/>
    <brk id="560" max="16383" man="1"/>
    <brk id="578" max="16383" man="1"/>
    <brk id="595" max="16383" man="1"/>
    <brk id="614" max="16383" man="1"/>
    <brk id="634" max="16383" man="1"/>
    <brk id="646" max="16383" man="1"/>
  </rowBreaks>
  <drawing r:id="rId2"/>
  <tableParts count="3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V W E V F D 2 z p e n A A A A + A A A A B I A H A B D b 2 5 m a W c v U G F j a 2 F n Z S 5 4 b W w g o h g A K K A U A A A A A A A A A A A A A A A A A A A A A A A A A A A A h Y 9 B D o I w F E S v Q r q n n 1 Y l S j 5 l 4 R Y S E h P j l p Q K j V A I F O F u L j y S V 5 B E U X c u Z / I m e f O 4 3 T G a 6 s q 5 q q 7 X j Q k J o x 5 x l J F N r k 0 R k s G e 3 S 2 J B K a Z v G S F c m b Y 9 M H U 6 5 C U 1 r Y B w D i O d F z R p i u A e x 6 D U x I f Z K n q z N W m t 5 m R i n x W + f 8 V E X h 8 y Q h O f U Y 3 b M f p 2 m c I S 4 2 J N l + E z 8 b U Q / g p c T 9 U d u i U a C s 3 j R G W i P B + I Z 5 Q S w M E F A A C A A g A g V W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F V h F Q o i k e 4 D g A A A B E A A A A T A B w A R m 9 y b X V s Y X M v U 2 V j d G l v b j E u b S C i G A A o o B Q A A A A A A A A A A A A A A A A A A A A A A A A A A A A r T k 0 u y c z P U w i G 0 I b W A F B L A Q I t A B Q A A g A I A I F V h F R Q 9 s 6 X p w A A A P g A A A A S A A A A A A A A A A A A A A A A A A A A A A B D b 2 5 m a W c v U G F j a 2 F n Z S 5 4 b W x Q S w E C L Q A U A A I A C A C B V Y R U D 8 r p q 6 Q A A A D p A A A A E w A A A A A A A A A A A A A A A A D z A A A A W 0 N v b n R l b n R f V H l w Z X N d L n h t b F B L A Q I t A B Q A A g A I A I F V h F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+ Q L 1 3 D G F T 4 + Y a u 8 / 3 T 2 Z A A A A A A I A A A A A A A N m A A D A A A A A E A A A A L O s j E M V t O z 8 N F 9 R q h 0 D l K A A A A A A B I A A A K A A A A A Q A A A A o 8 Z J 8 Y 8 U g n f c o u 7 2 E J N U B l A A A A C D z 6 2 Y X t 3 R S U P M O y F N e A e K O Q j W W Y j q b 7 t k B v B 2 H 8 7 y R J F G E 1 6 B 4 I c V 4 9 H U 3 y v J 7 F V X 4 O m g B J y s k Q D S M X O d O s 8 X 0 V k c r q Q 0 T f i p 8 w 1 z X r 0 q 7 B Q A A A C D p A A Q s o U 3 F A O 4 2 9 E D W B W 2 m / w 7 Q w = = < / D a t a M a s h u p > 
</file>

<file path=customXml/itemProps1.xml><?xml version="1.0" encoding="utf-8"?>
<ds:datastoreItem xmlns:ds="http://schemas.openxmlformats.org/officeDocument/2006/customXml" ds:itemID="{5202719A-8DA3-48AA-8796-4685C0FEF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dodatkowa do bilansu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bilansu Urzędu Dzielnicy Ursus</dc:title>
  <dc:creator/>
  <cp:lastModifiedBy/>
  <dcterms:created xsi:type="dcterms:W3CDTF">2015-06-05T18:19:34Z</dcterms:created>
  <dcterms:modified xsi:type="dcterms:W3CDTF">2023-03-21T14:20:44Z</dcterms:modified>
</cp:coreProperties>
</file>