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xt.dwelnicka\Desktop\dostępnośc cyfrowa\um\"/>
    </mc:Choice>
  </mc:AlternateContent>
  <bookViews>
    <workbookView xWindow="0" yWindow="0" windowWidth="28800" windowHeight="11700" activeTab="2"/>
  </bookViews>
  <sheets>
    <sheet name="Bilans 31.12.2018" sheetId="1" r:id="rId1"/>
    <sheet name="RZiS 31.12.2018" sheetId="6" r:id="rId2"/>
    <sheet name="ZZwFJ 31.12.2018" sheetId="7" r:id="rId3"/>
    <sheet name="Aktywa BO" sheetId="2" state="hidden" r:id="rId4"/>
    <sheet name="Pasywa BO" sheetId="3" state="hidden" r:id="rId5"/>
    <sheet name="RZiS BO" sheetId="12" state="hidden" r:id="rId6"/>
    <sheet name="ZZwFJ BO" sheetId="8" state="hidden" r:id="rId7"/>
    <sheet name="Aktywa BZ" sheetId="4" state="hidden" r:id="rId8"/>
    <sheet name="Pasywa BZ" sheetId="5" state="hidden" r:id="rId9"/>
    <sheet name="RZiS BZ" sheetId="13" state="hidden" r:id="rId10"/>
    <sheet name="ZZwJ BZ" sheetId="9" state="hidden" r:id="rId11"/>
    <sheet name="Nota II.1.1.a" sheetId="10" state="hidden" r:id="rId12"/>
    <sheet name="Nota II.1.b" sheetId="11" state="hidden" r:id="rId13"/>
    <sheet name="Nota II.1.1.c" sheetId="15" state="hidden" r:id="rId14"/>
    <sheet name="Nota II.1.2" sheetId="16" state="hidden" r:id="rId15"/>
    <sheet name="Nota II.1.3" sheetId="14" state="hidden" r:id="rId16"/>
    <sheet name="Nota II.1.4" sheetId="17" state="hidden" r:id="rId17"/>
    <sheet name="Nota II.1.5" sheetId="18" state="hidden" r:id="rId18"/>
    <sheet name="Nota II.1.6" sheetId="19" state="hidden" r:id="rId19"/>
    <sheet name="Nota II.1.7." sheetId="20" state="hidden" r:id="rId20"/>
    <sheet name="Nota II.1.8" sheetId="21" state="hidden" r:id="rId21"/>
    <sheet name="Nota II.1.9" sheetId="22" state="hidden" r:id="rId22"/>
    <sheet name="Nota II.1.10" sheetId="23" state="hidden" r:id="rId23"/>
    <sheet name="Nota II.1.11" sheetId="24" state="hidden" r:id="rId24"/>
    <sheet name="Nota II.1.12a" sheetId="25" state="hidden" r:id="rId25"/>
    <sheet name="Nota II.1.12b" sheetId="26" state="hidden" r:id="rId26"/>
    <sheet name="Nota II.1.13a" sheetId="27" state="hidden" r:id="rId27"/>
    <sheet name="Nota II.1.13b" sheetId="28" state="hidden" r:id="rId28"/>
    <sheet name="Nota II.1.14" sheetId="29" state="hidden" r:id="rId29"/>
    <sheet name="Nota II.1.15" sheetId="30" state="hidden" r:id="rId30"/>
    <sheet name="Nota II.1.16a" sheetId="31" state="hidden" r:id="rId31"/>
    <sheet name="Nota II.1.16b" sheetId="32" state="hidden" r:id="rId32"/>
    <sheet name="Nota II.1.16c" sheetId="33" state="hidden" r:id="rId33"/>
    <sheet name="Nota II.1.16d" sheetId="34" state="hidden" r:id="rId34"/>
    <sheet name="Nota II.2.1" sheetId="35" state="hidden" r:id="rId35"/>
    <sheet name="Nota II.2.2." sheetId="36" state="hidden" r:id="rId36"/>
    <sheet name="Nota II.2.3." sheetId="37" state="hidden" r:id="rId37"/>
    <sheet name="Nota II.2.4" sheetId="38" state="hidden" r:id="rId38"/>
    <sheet name="Nota II.2.5a" sheetId="39" state="hidden" r:id="rId39"/>
    <sheet name="Nota II.2.5b" sheetId="40" state="hidden" r:id="rId40"/>
    <sheet name="Nota II.2.5.c" sheetId="41" state="hidden" r:id="rId41"/>
    <sheet name="Nota II.2.5.d" sheetId="42" state="hidden" r:id="rId42"/>
    <sheet name="Nota II.2.5.e" sheetId="43" state="hidden" r:id="rId43"/>
    <sheet name="Nota II.2.5.f" sheetId="44" state="hidden" r:id="rId44"/>
    <sheet name="Nota II.2.5.g" sheetId="45" state="hidden" r:id="rId45"/>
    <sheet name="Nota II.3.1" sheetId="46" state="hidden" r:id="rId46"/>
  </sheets>
  <externalReferences>
    <externalReference r:id="rId47"/>
    <externalReference r:id="rId48"/>
    <externalReference r:id="rId49"/>
  </externalReferences>
  <definedNames>
    <definedName name="_xlnm.Print_Area" localSheetId="0">'Bilans 31.12.2018'!$A$1:$F$61</definedName>
    <definedName name="_xlnm.Print_Area" localSheetId="1">'RZiS 31.12.2018'!$A$1:$M$51</definedName>
    <definedName name="_xlnm.Print_Area" localSheetId="2">'ZZwFJ 31.12.2018'!$A$1:$F$47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7" l="1"/>
  <c r="C31" i="7"/>
  <c r="F11" i="1" l="1"/>
  <c r="E11" i="1"/>
  <c r="D28" i="7" l="1"/>
  <c r="D25" i="7"/>
  <c r="D18" i="7"/>
  <c r="D14" i="7"/>
  <c r="C28" i="7"/>
  <c r="C25" i="7"/>
  <c r="C18" i="7"/>
  <c r="C14" i="7"/>
  <c r="D40" i="6"/>
  <c r="D37" i="6"/>
  <c r="D30" i="6"/>
  <c r="D24" i="6"/>
  <c r="D20" i="6"/>
  <c r="D19" i="6"/>
  <c r="D18" i="6"/>
  <c r="D14" i="6"/>
  <c r="D9" i="6"/>
  <c r="C9" i="6"/>
  <c r="C19" i="6"/>
  <c r="C14" i="6"/>
  <c r="F25" i="1" l="1"/>
  <c r="F24" i="1"/>
  <c r="F18" i="1"/>
  <c r="C37" i="1"/>
  <c r="E24" i="1"/>
  <c r="E18" i="1"/>
  <c r="B37" i="1"/>
  <c r="B11" i="1"/>
  <c r="C11" i="1"/>
  <c r="D9" i="44" l="1"/>
  <c r="C9" i="44"/>
  <c r="D11" i="44"/>
  <c r="G10" i="32" l="1"/>
  <c r="H10" i="32"/>
  <c r="G11" i="32"/>
  <c r="H11" i="32"/>
  <c r="H9" i="32"/>
  <c r="G9" i="32"/>
  <c r="D13" i="30"/>
  <c r="C13" i="30"/>
  <c r="G29" i="31" l="1"/>
  <c r="F29" i="31" l="1"/>
  <c r="K29" i="31"/>
  <c r="K33" i="19"/>
  <c r="J33" i="19"/>
  <c r="F65" i="19"/>
  <c r="E65" i="19"/>
  <c r="C12" i="17"/>
  <c r="B12" i="17"/>
  <c r="D33" i="15"/>
  <c r="E33" i="15"/>
  <c r="F33" i="15"/>
  <c r="C33" i="15"/>
  <c r="D32" i="15"/>
  <c r="E32" i="15"/>
  <c r="C32" i="15"/>
  <c r="F37" i="45"/>
  <c r="E37" i="45"/>
  <c r="D37" i="45"/>
  <c r="C37" i="45"/>
  <c r="D49" i="44"/>
  <c r="C49" i="44"/>
  <c r="D42" i="43"/>
  <c r="D26" i="42"/>
  <c r="C26" i="42"/>
  <c r="D29" i="41"/>
  <c r="C29" i="41"/>
  <c r="D23" i="40"/>
  <c r="C23" i="40"/>
  <c r="C55" i="39"/>
  <c r="B15" i="34"/>
  <c r="E15" i="33"/>
  <c r="D15" i="33"/>
  <c r="C15" i="33"/>
  <c r="B15" i="33"/>
  <c r="D14" i="29"/>
  <c r="C14" i="29"/>
  <c r="G17" i="28"/>
  <c r="F17" i="28"/>
  <c r="F20" i="27"/>
  <c r="E20" i="27"/>
  <c r="D40" i="26"/>
  <c r="C40" i="26"/>
  <c r="C21" i="25"/>
  <c r="B21" i="25"/>
  <c r="C25" i="22"/>
  <c r="B25" i="22"/>
  <c r="C24" i="22"/>
  <c r="B24" i="22"/>
  <c r="F44" i="21"/>
  <c r="E44" i="21"/>
  <c r="D44" i="21"/>
  <c r="C44" i="21"/>
  <c r="F18" i="20"/>
  <c r="E18" i="20"/>
  <c r="D18" i="20"/>
  <c r="C18" i="20"/>
  <c r="G18" i="20" l="1"/>
  <c r="C42" i="43"/>
  <c r="D55" i="39"/>
  <c r="G12" i="32"/>
  <c r="H12" i="32"/>
  <c r="E29" i="31"/>
  <c r="E31" i="27"/>
  <c r="E9" i="27"/>
  <c r="F22" i="28"/>
  <c r="F9" i="28"/>
  <c r="F31" i="27"/>
  <c r="F9" i="27"/>
  <c r="G22" i="28"/>
  <c r="G9" i="28"/>
  <c r="B26" i="22"/>
  <c r="C26" i="22"/>
  <c r="G65" i="19"/>
  <c r="L33" i="19"/>
  <c r="B35" i="11"/>
  <c r="B20" i="14"/>
  <c r="H20" i="14"/>
  <c r="F20" i="14"/>
  <c r="D20" i="14"/>
  <c r="I20" i="14"/>
  <c r="G20" i="14"/>
  <c r="E20" i="14"/>
  <c r="C20" i="14"/>
  <c r="B19" i="18"/>
  <c r="C19" i="18"/>
  <c r="H29" i="31"/>
  <c r="B29" i="31"/>
  <c r="G44" i="21"/>
  <c r="H21" i="32" l="1"/>
  <c r="C24" i="32"/>
  <c r="G21" i="32"/>
  <c r="B24" i="32"/>
  <c r="F32" i="15"/>
  <c r="B36" i="11" l="1"/>
  <c r="W24" i="9" l="1"/>
  <c r="W21" i="9"/>
  <c r="W14" i="9"/>
  <c r="W10" i="9"/>
  <c r="V24" i="8"/>
  <c r="V21" i="8"/>
  <c r="V14" i="8"/>
  <c r="V10" i="8"/>
  <c r="D22" i="43" l="1"/>
  <c r="C22" i="43"/>
  <c r="D15" i="43"/>
  <c r="C15" i="43"/>
  <c r="D12" i="43"/>
  <c r="C12" i="43"/>
  <c r="D9" i="43"/>
  <c r="C9" i="43"/>
  <c r="D13" i="43"/>
  <c r="D14" i="41"/>
  <c r="C14" i="41"/>
  <c r="D9" i="41"/>
  <c r="C9" i="41"/>
  <c r="D25" i="41"/>
  <c r="C25" i="41"/>
  <c r="D24" i="41"/>
  <c r="D18" i="40"/>
  <c r="C18" i="40"/>
  <c r="D10" i="40"/>
  <c r="D30" i="39"/>
  <c r="D17" i="39"/>
  <c r="V35" i="13"/>
  <c r="V32" i="13"/>
  <c r="V25" i="13"/>
  <c r="V19" i="13"/>
  <c r="V14" i="13"/>
  <c r="V13" i="13"/>
  <c r="V9" i="13"/>
  <c r="V4" i="13"/>
  <c r="C52" i="39" l="1"/>
  <c r="C22" i="39"/>
  <c r="D37" i="39"/>
  <c r="C37" i="39"/>
  <c r="D34" i="39"/>
  <c r="C34" i="39"/>
  <c r="D31" i="39"/>
  <c r="C31" i="39"/>
  <c r="D23" i="39"/>
  <c r="D22" i="39" s="1"/>
  <c r="C23" i="39"/>
  <c r="C30" i="39"/>
  <c r="D9" i="39"/>
  <c r="C9" i="39"/>
  <c r="C17" i="39"/>
  <c r="V16" i="12"/>
  <c r="V11" i="12"/>
  <c r="V6" i="12"/>
  <c r="D52" i="39" l="1"/>
  <c r="C17" i="32"/>
  <c r="C11" i="22"/>
  <c r="C20" i="1"/>
  <c r="U43" i="4"/>
  <c r="V20" i="5"/>
  <c r="V19" i="5"/>
  <c r="V13" i="5"/>
  <c r="U32" i="4"/>
  <c r="U15" i="4"/>
  <c r="B17" i="32"/>
  <c r="B11" i="22"/>
  <c r="B10" i="22" s="1"/>
  <c r="B18" i="22" s="1"/>
  <c r="B20" i="1"/>
  <c r="V77" i="2"/>
  <c r="V73" i="2" s="1"/>
  <c r="V50" i="3"/>
  <c r="V44" i="3"/>
  <c r="V60" i="2"/>
  <c r="C18" i="22"/>
  <c r="C10" i="22"/>
  <c r="D63" i="3"/>
  <c r="E63" i="3"/>
  <c r="F63" i="3"/>
  <c r="G63" i="3"/>
  <c r="H63" i="3"/>
  <c r="I63" i="3"/>
  <c r="J63" i="3"/>
  <c r="K63" i="3"/>
  <c r="L63" i="3"/>
  <c r="M63" i="3"/>
  <c r="N63" i="3"/>
  <c r="O63" i="3"/>
  <c r="P63" i="3"/>
  <c r="Q63" i="3"/>
  <c r="R63" i="3"/>
  <c r="S63" i="3"/>
  <c r="T63" i="3"/>
  <c r="U63" i="3"/>
  <c r="C63" i="3"/>
  <c r="C21" i="32" l="1"/>
  <c r="C13" i="32"/>
  <c r="B13" i="32"/>
  <c r="C12" i="32"/>
  <c r="B12" i="32"/>
  <c r="B21" i="32" s="1"/>
  <c r="G17" i="14" l="1"/>
  <c r="G16" i="14"/>
  <c r="F12" i="44"/>
  <c r="E12" i="44"/>
  <c r="F9" i="44"/>
  <c r="E9" i="44"/>
  <c r="F15" i="43"/>
  <c r="E15" i="43"/>
  <c r="F12" i="43"/>
  <c r="E12" i="43"/>
  <c r="F9" i="43"/>
  <c r="E9" i="43"/>
  <c r="E10" i="42"/>
  <c r="F10" i="42"/>
  <c r="F9" i="42"/>
  <c r="E9" i="42"/>
  <c r="E14" i="41"/>
  <c r="F14" i="41"/>
  <c r="F13" i="41"/>
  <c r="E13" i="41"/>
  <c r="F9" i="41"/>
  <c r="E9" i="41"/>
  <c r="D21" i="40"/>
  <c r="C21" i="40"/>
  <c r="E22" i="39" l="1"/>
  <c r="F22" i="39"/>
  <c r="E21" i="39"/>
  <c r="F21" i="39"/>
  <c r="E20" i="39"/>
  <c r="F20" i="39"/>
  <c r="E19" i="39"/>
  <c r="F19" i="39"/>
  <c r="F18" i="39"/>
  <c r="E18" i="39"/>
  <c r="F9" i="39"/>
  <c r="E9" i="39"/>
  <c r="E20" i="32"/>
  <c r="D20" i="32"/>
  <c r="D10" i="32"/>
  <c r="E10" i="32"/>
  <c r="D11" i="32"/>
  <c r="E11" i="32"/>
  <c r="D12" i="32"/>
  <c r="E12" i="32"/>
  <c r="E9" i="32"/>
  <c r="D9" i="32"/>
  <c r="E26" i="31" l="1"/>
  <c r="E25" i="31"/>
  <c r="B26" i="31"/>
  <c r="B25" i="31"/>
  <c r="E17" i="28"/>
  <c r="D17" i="28"/>
  <c r="E9" i="28"/>
  <c r="D9" i="28"/>
  <c r="C34" i="27"/>
  <c r="B34" i="27"/>
  <c r="C22" i="22"/>
  <c r="B22" i="22"/>
  <c r="G42" i="21"/>
  <c r="C42" i="21"/>
  <c r="G63" i="19"/>
  <c r="G62" i="19"/>
  <c r="F60" i="19"/>
  <c r="E60" i="19"/>
  <c r="G59" i="19"/>
  <c r="G58" i="19"/>
  <c r="G57" i="19"/>
  <c r="G56" i="19"/>
  <c r="G55" i="19"/>
  <c r="G54" i="19"/>
  <c r="G53" i="19"/>
  <c r="G52" i="19"/>
  <c r="G51" i="19"/>
  <c r="G50" i="19"/>
  <c r="G49" i="19"/>
  <c r="G48" i="19"/>
  <c r="G47" i="19"/>
  <c r="G46" i="19"/>
  <c r="G45" i="19"/>
  <c r="G44" i="19"/>
  <c r="G43" i="19"/>
  <c r="G42" i="19"/>
  <c r="G41" i="19"/>
  <c r="G40" i="19"/>
  <c r="G39" i="19"/>
  <c r="G38" i="19"/>
  <c r="G37" i="19"/>
  <c r="G36" i="19"/>
  <c r="G35" i="19"/>
  <c r="G60" i="19" s="1"/>
  <c r="F33" i="19"/>
  <c r="E33" i="19"/>
  <c r="G32" i="19"/>
  <c r="G31" i="19"/>
  <c r="G30" i="19"/>
  <c r="G29" i="19"/>
  <c r="G28" i="19"/>
  <c r="G27" i="19"/>
  <c r="G26" i="19"/>
  <c r="G25" i="19"/>
  <c r="G24" i="19"/>
  <c r="G23" i="19"/>
  <c r="G22" i="19"/>
  <c r="G21" i="19"/>
  <c r="G20" i="19"/>
  <c r="G19" i="19"/>
  <c r="G18" i="19"/>
  <c r="G17" i="19"/>
  <c r="G16" i="19"/>
  <c r="G15" i="19"/>
  <c r="G14" i="19"/>
  <c r="G13" i="19"/>
  <c r="G12" i="19"/>
  <c r="G11" i="19"/>
  <c r="G10" i="19"/>
  <c r="G9" i="19"/>
  <c r="G8" i="19"/>
  <c r="G7" i="19"/>
  <c r="G33" i="19" s="1"/>
  <c r="D28" i="15"/>
  <c r="E28" i="15"/>
  <c r="F28" i="15"/>
  <c r="C28" i="15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Q31" i="5"/>
  <c r="R31" i="5"/>
  <c r="S31" i="5"/>
  <c r="T31" i="5"/>
  <c r="U31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Q32" i="5"/>
  <c r="R32" i="5"/>
  <c r="S32" i="5"/>
  <c r="T32" i="5"/>
  <c r="U32" i="5"/>
  <c r="D33" i="5"/>
  <c r="E33" i="5"/>
  <c r="F33" i="5"/>
  <c r="G33" i="5"/>
  <c r="H33" i="5"/>
  <c r="I33" i="5"/>
  <c r="J33" i="5"/>
  <c r="K33" i="5"/>
  <c r="L33" i="5"/>
  <c r="M33" i="5"/>
  <c r="N33" i="5"/>
  <c r="O33" i="5"/>
  <c r="P33" i="5"/>
  <c r="Q33" i="5"/>
  <c r="R33" i="5"/>
  <c r="S33" i="5"/>
  <c r="T33" i="5"/>
  <c r="U33" i="5"/>
  <c r="C33" i="5"/>
  <c r="C32" i="5"/>
  <c r="D42" i="13"/>
  <c r="E42" i="13"/>
  <c r="F42" i="13"/>
  <c r="G42" i="13"/>
  <c r="H42" i="13"/>
  <c r="I42" i="13"/>
  <c r="J42" i="13"/>
  <c r="K42" i="13"/>
  <c r="L42" i="13"/>
  <c r="M42" i="13"/>
  <c r="N42" i="13"/>
  <c r="O42" i="13"/>
  <c r="P42" i="13"/>
  <c r="Q42" i="13"/>
  <c r="R42" i="13"/>
  <c r="S42" i="13"/>
  <c r="T42" i="13"/>
  <c r="U42" i="13"/>
  <c r="C42" i="13"/>
  <c r="X38" i="13"/>
  <c r="X20" i="13"/>
  <c r="X24" i="13"/>
  <c r="X12" i="13"/>
  <c r="V34" i="13"/>
  <c r="V30" i="13"/>
  <c r="V26" i="13"/>
  <c r="V22" i="13"/>
  <c r="V10" i="13"/>
  <c r="V21" i="13" s="1"/>
  <c r="V3" i="13"/>
  <c r="W39" i="13"/>
  <c r="X39" i="13" s="1"/>
  <c r="W38" i="13"/>
  <c r="W36" i="13"/>
  <c r="X36" i="13" s="1"/>
  <c r="W35" i="13"/>
  <c r="W33" i="13"/>
  <c r="X33" i="13" s="1"/>
  <c r="W32" i="13"/>
  <c r="X32" i="13" s="1"/>
  <c r="W31" i="13"/>
  <c r="W30" i="13" s="1"/>
  <c r="W28" i="13"/>
  <c r="X28" i="13" s="1"/>
  <c r="W27" i="13"/>
  <c r="X27" i="13" s="1"/>
  <c r="W25" i="13"/>
  <c r="X25" i="13" s="1"/>
  <c r="W24" i="13"/>
  <c r="W23" i="13"/>
  <c r="X23" i="13" s="1"/>
  <c r="W20" i="13"/>
  <c r="W19" i="13"/>
  <c r="X19" i="13" s="1"/>
  <c r="W18" i="13"/>
  <c r="X18" i="13" s="1"/>
  <c r="W17" i="13"/>
  <c r="X17" i="13" s="1"/>
  <c r="W16" i="13"/>
  <c r="X16" i="13" s="1"/>
  <c r="W15" i="13"/>
  <c r="X15" i="13" s="1"/>
  <c r="W14" i="13"/>
  <c r="X14" i="13" s="1"/>
  <c r="W13" i="13"/>
  <c r="X13" i="13" s="1"/>
  <c r="W12" i="13"/>
  <c r="W11" i="13"/>
  <c r="X11" i="13" s="1"/>
  <c r="W9" i="13"/>
  <c r="X9" i="13" s="1"/>
  <c r="W8" i="13"/>
  <c r="X8" i="13" s="1"/>
  <c r="W7" i="13"/>
  <c r="X7" i="13" s="1"/>
  <c r="W6" i="13"/>
  <c r="X6" i="13" s="1"/>
  <c r="W5" i="13"/>
  <c r="X5" i="13" s="1"/>
  <c r="W4" i="13"/>
  <c r="X4" i="13" s="1"/>
  <c r="L32" i="8"/>
  <c r="M32" i="8"/>
  <c r="N32" i="8"/>
  <c r="O32" i="8"/>
  <c r="P32" i="8"/>
  <c r="Q32" i="8"/>
  <c r="R32" i="8"/>
  <c r="S32" i="8"/>
  <c r="T32" i="8"/>
  <c r="U32" i="8"/>
  <c r="D32" i="8"/>
  <c r="E32" i="8"/>
  <c r="F32" i="8"/>
  <c r="G32" i="8"/>
  <c r="H32" i="8"/>
  <c r="I32" i="8"/>
  <c r="J32" i="8"/>
  <c r="K32" i="8"/>
  <c r="C32" i="8"/>
  <c r="X6" i="12"/>
  <c r="X7" i="12"/>
  <c r="X8" i="12"/>
  <c r="X9" i="12"/>
  <c r="X10" i="12"/>
  <c r="X13" i="12"/>
  <c r="X14" i="12"/>
  <c r="X15" i="12"/>
  <c r="X17" i="12"/>
  <c r="X18" i="12"/>
  <c r="X19" i="12"/>
  <c r="X20" i="12"/>
  <c r="X21" i="12"/>
  <c r="X22" i="12"/>
  <c r="X25" i="12"/>
  <c r="X26" i="12"/>
  <c r="X27" i="12"/>
  <c r="X29" i="12"/>
  <c r="X30" i="12"/>
  <c r="X33" i="12"/>
  <c r="X34" i="12"/>
  <c r="X35" i="12"/>
  <c r="X37" i="12"/>
  <c r="X38" i="12"/>
  <c r="X40" i="12"/>
  <c r="X41" i="12"/>
  <c r="V36" i="12"/>
  <c r="W36" i="12"/>
  <c r="V32" i="12"/>
  <c r="V28" i="12"/>
  <c r="V24" i="12"/>
  <c r="V12" i="12"/>
  <c r="V5" i="12"/>
  <c r="D44" i="12"/>
  <c r="E44" i="12"/>
  <c r="F44" i="12"/>
  <c r="G44" i="12"/>
  <c r="H44" i="12"/>
  <c r="I44" i="12"/>
  <c r="J44" i="12"/>
  <c r="K44" i="12"/>
  <c r="L44" i="12"/>
  <c r="M44" i="12"/>
  <c r="N44" i="12"/>
  <c r="O44" i="12"/>
  <c r="P44" i="12"/>
  <c r="Q44" i="12"/>
  <c r="R44" i="12"/>
  <c r="S44" i="12"/>
  <c r="T44" i="12"/>
  <c r="U44" i="12"/>
  <c r="C44" i="12"/>
  <c r="W41" i="12"/>
  <c r="W40" i="12"/>
  <c r="W38" i="12"/>
  <c r="W37" i="12"/>
  <c r="W35" i="12"/>
  <c r="W34" i="12"/>
  <c r="W33" i="12"/>
  <c r="W30" i="12"/>
  <c r="W29" i="12"/>
  <c r="W27" i="12"/>
  <c r="W26" i="12"/>
  <c r="W25" i="12"/>
  <c r="W22" i="12"/>
  <c r="W21" i="12"/>
  <c r="W20" i="12"/>
  <c r="W19" i="12"/>
  <c r="W18" i="12"/>
  <c r="W17" i="12"/>
  <c r="W16" i="12"/>
  <c r="X16" i="12" s="1"/>
  <c r="W15" i="12"/>
  <c r="W14" i="12"/>
  <c r="W13" i="12"/>
  <c r="W11" i="12"/>
  <c r="X11" i="12" s="1"/>
  <c r="W10" i="12"/>
  <c r="W9" i="12"/>
  <c r="W8" i="12"/>
  <c r="W7" i="12"/>
  <c r="W6" i="12"/>
  <c r="D39" i="6"/>
  <c r="F21" i="44" s="1"/>
  <c r="C39" i="6"/>
  <c r="E21" i="44" s="1"/>
  <c r="D35" i="6"/>
  <c r="F22" i="43" s="1"/>
  <c r="C35" i="6"/>
  <c r="E22" i="43" s="1"/>
  <c r="D31" i="6"/>
  <c r="F23" i="42" s="1"/>
  <c r="C31" i="6"/>
  <c r="E23" i="42" s="1"/>
  <c r="D27" i="6"/>
  <c r="F25" i="41" s="1"/>
  <c r="C27" i="6"/>
  <c r="E25" i="41" s="1"/>
  <c r="D15" i="6"/>
  <c r="C15" i="6"/>
  <c r="D8" i="6"/>
  <c r="C8" i="6"/>
  <c r="B33" i="11"/>
  <c r="B32" i="11"/>
  <c r="B29" i="11"/>
  <c r="B26" i="11"/>
  <c r="B18" i="11"/>
  <c r="B15" i="11"/>
  <c r="B9" i="11"/>
  <c r="B6" i="11"/>
  <c r="B12" i="11" s="1"/>
  <c r="H31" i="10"/>
  <c r="H37" i="10" s="1"/>
  <c r="G31" i="10"/>
  <c r="G37" i="10" s="1"/>
  <c r="F31" i="10"/>
  <c r="F37" i="10" s="1"/>
  <c r="E31" i="10"/>
  <c r="E37" i="10" s="1"/>
  <c r="D31" i="10"/>
  <c r="D37" i="10" s="1"/>
  <c r="C31" i="10"/>
  <c r="C37" i="10" s="1"/>
  <c r="B31" i="10"/>
  <c r="B37" i="10" s="1"/>
  <c r="H29" i="10"/>
  <c r="G29" i="10"/>
  <c r="F29" i="10"/>
  <c r="E29" i="10"/>
  <c r="D29" i="10"/>
  <c r="C29" i="10"/>
  <c r="B29" i="10"/>
  <c r="I28" i="10"/>
  <c r="I27" i="10"/>
  <c r="I26" i="10"/>
  <c r="I23" i="10"/>
  <c r="I22" i="10"/>
  <c r="I21" i="10"/>
  <c r="H21" i="10"/>
  <c r="G21" i="10"/>
  <c r="F21" i="10"/>
  <c r="E21" i="10"/>
  <c r="D21" i="10"/>
  <c r="C21" i="10"/>
  <c r="B21" i="10"/>
  <c r="I20" i="10"/>
  <c r="I19" i="10"/>
  <c r="I18" i="10"/>
  <c r="H17" i="10"/>
  <c r="H24" i="10" s="1"/>
  <c r="G17" i="10"/>
  <c r="F17" i="10"/>
  <c r="F24" i="10" s="1"/>
  <c r="E17" i="10"/>
  <c r="D17" i="10"/>
  <c r="D24" i="10" s="1"/>
  <c r="C17" i="10"/>
  <c r="B17" i="10"/>
  <c r="B24" i="10" s="1"/>
  <c r="I16" i="10"/>
  <c r="I13" i="10"/>
  <c r="I12" i="10"/>
  <c r="I11" i="10" s="1"/>
  <c r="H11" i="10"/>
  <c r="G11" i="10"/>
  <c r="F11" i="10"/>
  <c r="E11" i="10"/>
  <c r="D11" i="10"/>
  <c r="C11" i="10"/>
  <c r="B11" i="10"/>
  <c r="I10" i="10"/>
  <c r="I9" i="10"/>
  <c r="I8" i="10"/>
  <c r="H7" i="10"/>
  <c r="H14" i="10" s="1"/>
  <c r="G7" i="10"/>
  <c r="F7" i="10"/>
  <c r="F14" i="10" s="1"/>
  <c r="E7" i="10"/>
  <c r="D7" i="10"/>
  <c r="D14" i="10" s="1"/>
  <c r="C7" i="10"/>
  <c r="B7" i="10"/>
  <c r="B14" i="10" s="1"/>
  <c r="I6" i="10"/>
  <c r="I1" i="10"/>
  <c r="H1" i="10"/>
  <c r="G1" i="10"/>
  <c r="F1" i="10"/>
  <c r="E1" i="10"/>
  <c r="D1" i="10"/>
  <c r="C1" i="10"/>
  <c r="B1" i="10"/>
  <c r="E36" i="9"/>
  <c r="F36" i="9"/>
  <c r="G36" i="9"/>
  <c r="H36" i="9"/>
  <c r="I36" i="9"/>
  <c r="J36" i="9"/>
  <c r="K36" i="9"/>
  <c r="L36" i="9"/>
  <c r="M36" i="9"/>
  <c r="N36" i="9"/>
  <c r="O36" i="9"/>
  <c r="P36" i="9"/>
  <c r="Q36" i="9"/>
  <c r="R36" i="9"/>
  <c r="S36" i="9"/>
  <c r="T36" i="9"/>
  <c r="U36" i="9"/>
  <c r="V36" i="9"/>
  <c r="W36" i="9"/>
  <c r="D36" i="9"/>
  <c r="E33" i="9"/>
  <c r="F33" i="9"/>
  <c r="G33" i="9"/>
  <c r="H33" i="9"/>
  <c r="I33" i="9"/>
  <c r="J33" i="9"/>
  <c r="K33" i="9"/>
  <c r="L33" i="9"/>
  <c r="M33" i="9"/>
  <c r="N33" i="9"/>
  <c r="O33" i="9"/>
  <c r="P33" i="9"/>
  <c r="Q33" i="9"/>
  <c r="R33" i="9"/>
  <c r="S33" i="9"/>
  <c r="T33" i="9"/>
  <c r="U33" i="9"/>
  <c r="V33" i="9"/>
  <c r="E34" i="9"/>
  <c r="F34" i="9"/>
  <c r="G34" i="9"/>
  <c r="H34" i="9"/>
  <c r="I34" i="9"/>
  <c r="J34" i="9"/>
  <c r="K34" i="9"/>
  <c r="L34" i="9"/>
  <c r="M34" i="9"/>
  <c r="N34" i="9"/>
  <c r="O34" i="9"/>
  <c r="P34" i="9"/>
  <c r="Q34" i="9"/>
  <c r="R34" i="9"/>
  <c r="S34" i="9"/>
  <c r="T34" i="9"/>
  <c r="U34" i="9"/>
  <c r="V34" i="9"/>
  <c r="W34" i="9"/>
  <c r="E35" i="9"/>
  <c r="F35" i="9"/>
  <c r="G35" i="9"/>
  <c r="H35" i="9"/>
  <c r="I35" i="9"/>
  <c r="J35" i="9"/>
  <c r="K35" i="9"/>
  <c r="L35" i="9"/>
  <c r="M35" i="9"/>
  <c r="N35" i="9"/>
  <c r="O35" i="9"/>
  <c r="P35" i="9"/>
  <c r="Q35" i="9"/>
  <c r="R35" i="9"/>
  <c r="S35" i="9"/>
  <c r="T35" i="9"/>
  <c r="U35" i="9"/>
  <c r="V35" i="9"/>
  <c r="W35" i="9"/>
  <c r="E38" i="9"/>
  <c r="F38" i="9"/>
  <c r="G38" i="9"/>
  <c r="H38" i="9"/>
  <c r="I38" i="9"/>
  <c r="J38" i="9"/>
  <c r="K38" i="9"/>
  <c r="L38" i="9"/>
  <c r="M38" i="9"/>
  <c r="N38" i="9"/>
  <c r="O38" i="9"/>
  <c r="P38" i="9"/>
  <c r="Q38" i="9"/>
  <c r="R38" i="9"/>
  <c r="S38" i="9"/>
  <c r="T38" i="9"/>
  <c r="U38" i="9"/>
  <c r="V38" i="9"/>
  <c r="D38" i="9"/>
  <c r="D35" i="9"/>
  <c r="D34" i="9"/>
  <c r="D33" i="9"/>
  <c r="Y12" i="9"/>
  <c r="Y23" i="9"/>
  <c r="W26" i="9"/>
  <c r="W15" i="9"/>
  <c r="W4" i="9"/>
  <c r="V40" i="9"/>
  <c r="U40" i="9"/>
  <c r="T40" i="9"/>
  <c r="S40" i="9"/>
  <c r="R40" i="9"/>
  <c r="Q40" i="9"/>
  <c r="P40" i="9"/>
  <c r="O40" i="9"/>
  <c r="N40" i="9"/>
  <c r="M40" i="9"/>
  <c r="L40" i="9"/>
  <c r="K40" i="9"/>
  <c r="J40" i="9"/>
  <c r="I40" i="9"/>
  <c r="H40" i="9"/>
  <c r="G40" i="9"/>
  <c r="F40" i="9"/>
  <c r="E40" i="9"/>
  <c r="D40" i="9"/>
  <c r="X29" i="9"/>
  <c r="Y29" i="9" s="1"/>
  <c r="X28" i="9"/>
  <c r="Y28" i="9" s="1"/>
  <c r="X27" i="9"/>
  <c r="Y27" i="9" s="1"/>
  <c r="X24" i="9"/>
  <c r="Y24" i="9" s="1"/>
  <c r="X23" i="9"/>
  <c r="X22" i="9"/>
  <c r="Y22" i="9" s="1"/>
  <c r="X21" i="9"/>
  <c r="Y21" i="9" s="1"/>
  <c r="X20" i="9"/>
  <c r="Y20" i="9" s="1"/>
  <c r="X19" i="9"/>
  <c r="Y19" i="9" s="1"/>
  <c r="X18" i="9"/>
  <c r="X36" i="9" s="1"/>
  <c r="X17" i="9"/>
  <c r="Y17" i="9" s="1"/>
  <c r="X16" i="9"/>
  <c r="X35" i="9" s="1"/>
  <c r="X14" i="9"/>
  <c r="Y14" i="9" s="1"/>
  <c r="X13" i="9"/>
  <c r="Y13" i="9" s="1"/>
  <c r="X12" i="9"/>
  <c r="X11" i="9"/>
  <c r="Y11" i="9" s="1"/>
  <c r="X10" i="9"/>
  <c r="Y10" i="9" s="1"/>
  <c r="X9" i="9"/>
  <c r="Y9" i="9" s="1"/>
  <c r="X8" i="9"/>
  <c r="Y8" i="9" s="1"/>
  <c r="X7" i="9"/>
  <c r="Y7" i="9" s="1"/>
  <c r="X6" i="9"/>
  <c r="Y6" i="9" s="1"/>
  <c r="X5" i="9"/>
  <c r="X34" i="9" s="1"/>
  <c r="X3" i="9"/>
  <c r="Y3" i="9" s="1"/>
  <c r="H65" i="3"/>
  <c r="I65" i="3"/>
  <c r="J65" i="3"/>
  <c r="K65" i="3"/>
  <c r="L65" i="3"/>
  <c r="M65" i="3"/>
  <c r="N65" i="3"/>
  <c r="O65" i="3"/>
  <c r="P65" i="3"/>
  <c r="Q65" i="3"/>
  <c r="R65" i="3"/>
  <c r="S65" i="3"/>
  <c r="T65" i="3"/>
  <c r="U65" i="3"/>
  <c r="V65" i="3"/>
  <c r="W65" i="3"/>
  <c r="D65" i="3"/>
  <c r="E65" i="3"/>
  <c r="F65" i="3"/>
  <c r="G65" i="3"/>
  <c r="C65" i="3"/>
  <c r="D64" i="3"/>
  <c r="E64" i="3"/>
  <c r="F64" i="3"/>
  <c r="G64" i="3"/>
  <c r="H64" i="3"/>
  <c r="I64" i="3"/>
  <c r="J64" i="3"/>
  <c r="K64" i="3"/>
  <c r="L64" i="3"/>
  <c r="M64" i="3"/>
  <c r="N64" i="3"/>
  <c r="O64" i="3"/>
  <c r="P64" i="3"/>
  <c r="Q64" i="3"/>
  <c r="R64" i="3"/>
  <c r="S64" i="3"/>
  <c r="T64" i="3"/>
  <c r="U64" i="3"/>
  <c r="D66" i="3"/>
  <c r="E66" i="3"/>
  <c r="F66" i="3"/>
  <c r="G66" i="3"/>
  <c r="H66" i="3"/>
  <c r="I66" i="3"/>
  <c r="J66" i="3"/>
  <c r="K66" i="3"/>
  <c r="L66" i="3"/>
  <c r="M66" i="3"/>
  <c r="N66" i="3"/>
  <c r="O66" i="3"/>
  <c r="P66" i="3"/>
  <c r="Q66" i="3"/>
  <c r="R66" i="3"/>
  <c r="S66" i="3"/>
  <c r="T66" i="3"/>
  <c r="U66" i="3"/>
  <c r="V66" i="3"/>
  <c r="W66" i="3"/>
  <c r="C66" i="3"/>
  <c r="C64" i="3"/>
  <c r="X5" i="8"/>
  <c r="X6" i="8"/>
  <c r="X7" i="8"/>
  <c r="X8" i="8"/>
  <c r="X9" i="8"/>
  <c r="X11" i="8"/>
  <c r="X12" i="8"/>
  <c r="X13" i="8"/>
  <c r="X16" i="8"/>
  <c r="X17" i="8"/>
  <c r="X18" i="8"/>
  <c r="X19" i="8"/>
  <c r="X20" i="8"/>
  <c r="X22" i="8"/>
  <c r="X23" i="8"/>
  <c r="X27" i="8"/>
  <c r="X28" i="8"/>
  <c r="X29" i="8"/>
  <c r="X3" i="8"/>
  <c r="V26" i="8"/>
  <c r="V15" i="8"/>
  <c r="V4" i="8"/>
  <c r="W29" i="8"/>
  <c r="W28" i="8"/>
  <c r="W27" i="8"/>
  <c r="W24" i="8"/>
  <c r="X24" i="8" s="1"/>
  <c r="W23" i="8"/>
  <c r="W22" i="8"/>
  <c r="W21" i="8"/>
  <c r="X21" i="8" s="1"/>
  <c r="W20" i="8"/>
  <c r="W19" i="8"/>
  <c r="W18" i="8"/>
  <c r="W17" i="8"/>
  <c r="W16" i="8"/>
  <c r="W14" i="8"/>
  <c r="X14" i="8" s="1"/>
  <c r="W13" i="8"/>
  <c r="W12" i="8"/>
  <c r="W11" i="8"/>
  <c r="W10" i="8"/>
  <c r="X10" i="8" s="1"/>
  <c r="W9" i="8"/>
  <c r="W8" i="8"/>
  <c r="W7" i="8"/>
  <c r="W6" i="8"/>
  <c r="W5" i="8"/>
  <c r="W3" i="8"/>
  <c r="E33" i="7"/>
  <c r="F33" i="7"/>
  <c r="E32" i="7"/>
  <c r="F32" i="7"/>
  <c r="F31" i="7"/>
  <c r="E31" i="7"/>
  <c r="D30" i="7"/>
  <c r="C30" i="7"/>
  <c r="X26" i="8" s="1"/>
  <c r="E22" i="7"/>
  <c r="E20" i="7"/>
  <c r="D19" i="7"/>
  <c r="C19" i="7"/>
  <c r="E9" i="7"/>
  <c r="D8" i="7"/>
  <c r="C8" i="7"/>
  <c r="C31" i="5"/>
  <c r="W24" i="5"/>
  <c r="X24" i="5" s="1"/>
  <c r="W23" i="5"/>
  <c r="X23" i="5"/>
  <c r="V26" i="5"/>
  <c r="V22" i="5"/>
  <c r="V14" i="5" s="1"/>
  <c r="V5" i="5"/>
  <c r="V3" i="5" s="1"/>
  <c r="W28" i="5"/>
  <c r="X28" i="5" s="1"/>
  <c r="W27" i="5"/>
  <c r="X27" i="5" s="1"/>
  <c r="W25" i="5"/>
  <c r="X25" i="5" s="1"/>
  <c r="W21" i="5"/>
  <c r="X21" i="5" s="1"/>
  <c r="W20" i="5"/>
  <c r="X20" i="5" s="1"/>
  <c r="W19" i="5"/>
  <c r="X19" i="5" s="1"/>
  <c r="W18" i="5"/>
  <c r="X18" i="5" s="1"/>
  <c r="W17" i="5"/>
  <c r="X17" i="5" s="1"/>
  <c r="W16" i="5"/>
  <c r="X16" i="5" s="1"/>
  <c r="W15" i="5"/>
  <c r="X15" i="5" s="1"/>
  <c r="W13" i="5"/>
  <c r="X13" i="5" s="1"/>
  <c r="W11" i="5"/>
  <c r="X11" i="5" s="1"/>
  <c r="W10" i="5"/>
  <c r="X10" i="5" s="1"/>
  <c r="W9" i="5"/>
  <c r="X9" i="5" s="1"/>
  <c r="W8" i="5"/>
  <c r="X8" i="5" s="1"/>
  <c r="W7" i="5"/>
  <c r="X7" i="5" s="1"/>
  <c r="W6" i="5"/>
  <c r="X6" i="5" s="1"/>
  <c r="W4" i="5"/>
  <c r="X4" i="5" s="1"/>
  <c r="W33" i="4"/>
  <c r="W36" i="4"/>
  <c r="W38" i="4"/>
  <c r="W40" i="4"/>
  <c r="W42" i="4"/>
  <c r="W18" i="4"/>
  <c r="U34" i="4"/>
  <c r="U28" i="4"/>
  <c r="U23" i="4"/>
  <c r="U22" i="4"/>
  <c r="U16" i="4"/>
  <c r="U5" i="4"/>
  <c r="V42" i="4"/>
  <c r="V41" i="4"/>
  <c r="W41" i="4" s="1"/>
  <c r="V40" i="4"/>
  <c r="V39" i="4"/>
  <c r="W39" i="4" s="1"/>
  <c r="V38" i="4"/>
  <c r="V37" i="4"/>
  <c r="W37" i="4" s="1"/>
  <c r="V36" i="4"/>
  <c r="V35" i="4"/>
  <c r="W35" i="4" s="1"/>
  <c r="V33" i="4"/>
  <c r="V32" i="4"/>
  <c r="W32" i="4" s="1"/>
  <c r="V31" i="4"/>
  <c r="W31" i="4" s="1"/>
  <c r="V30" i="4"/>
  <c r="W30" i="4" s="1"/>
  <c r="V29" i="4"/>
  <c r="W29" i="4" s="1"/>
  <c r="V27" i="4"/>
  <c r="W27" i="4" s="1"/>
  <c r="V26" i="4"/>
  <c r="W26" i="4" s="1"/>
  <c r="V25" i="4"/>
  <c r="W25" i="4" s="1"/>
  <c r="V24" i="4"/>
  <c r="W24" i="4" s="1"/>
  <c r="V21" i="4"/>
  <c r="W21" i="4" s="1"/>
  <c r="V20" i="4"/>
  <c r="W20" i="4" s="1"/>
  <c r="V19" i="4"/>
  <c r="W19" i="4" s="1"/>
  <c r="V18" i="4"/>
  <c r="V17" i="4"/>
  <c r="W17" i="4" s="1"/>
  <c r="V15" i="4"/>
  <c r="W15" i="4" s="1"/>
  <c r="V14" i="4"/>
  <c r="W14" i="4" s="1"/>
  <c r="V13" i="4"/>
  <c r="W13" i="4" s="1"/>
  <c r="V12" i="4"/>
  <c r="W12" i="4" s="1"/>
  <c r="V11" i="4"/>
  <c r="W11" i="4" s="1"/>
  <c r="V10" i="4"/>
  <c r="W10" i="4" s="1"/>
  <c r="V9" i="4"/>
  <c r="W9" i="4" s="1"/>
  <c r="V8" i="4"/>
  <c r="W8" i="4" s="1"/>
  <c r="V7" i="4"/>
  <c r="W7" i="4" s="1"/>
  <c r="V4" i="4"/>
  <c r="W4" i="4" s="1"/>
  <c r="D62" i="3"/>
  <c r="E62" i="3"/>
  <c r="F62" i="3"/>
  <c r="G62" i="3"/>
  <c r="H62" i="3"/>
  <c r="I62" i="3"/>
  <c r="J62" i="3"/>
  <c r="K62" i="3"/>
  <c r="L62" i="3"/>
  <c r="M62" i="3"/>
  <c r="N62" i="3"/>
  <c r="O62" i="3"/>
  <c r="P62" i="3"/>
  <c r="Q62" i="3"/>
  <c r="R62" i="3"/>
  <c r="S62" i="3"/>
  <c r="T62" i="3"/>
  <c r="U62" i="3"/>
  <c r="C62" i="3"/>
  <c r="X46" i="3"/>
  <c r="X47" i="3"/>
  <c r="X48" i="3"/>
  <c r="X49" i="3"/>
  <c r="X52" i="3"/>
  <c r="X54" i="3"/>
  <c r="X55" i="3"/>
  <c r="X56" i="3"/>
  <c r="X58" i="3"/>
  <c r="X59" i="3"/>
  <c r="X35" i="3"/>
  <c r="X37" i="3"/>
  <c r="X38" i="3"/>
  <c r="X39" i="3"/>
  <c r="X40" i="3"/>
  <c r="X41" i="3"/>
  <c r="X42" i="3"/>
  <c r="V56" i="3"/>
  <c r="V45" i="3"/>
  <c r="V53" i="3"/>
  <c r="V36" i="3"/>
  <c r="V34" i="3"/>
  <c r="U95" i="3"/>
  <c r="T95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C95" i="3"/>
  <c r="U94" i="3"/>
  <c r="T94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E94" i="3"/>
  <c r="D94" i="3"/>
  <c r="C94" i="3"/>
  <c r="U93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C93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C92" i="3"/>
  <c r="U91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E91" i="3"/>
  <c r="D91" i="3"/>
  <c r="C91" i="3"/>
  <c r="U90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C90" i="3"/>
  <c r="U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C89" i="3"/>
  <c r="U88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C88" i="3"/>
  <c r="U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C87" i="3"/>
  <c r="U86" i="3"/>
  <c r="T86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E86" i="3"/>
  <c r="D86" i="3"/>
  <c r="C86" i="3"/>
  <c r="U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D85" i="3"/>
  <c r="C85" i="3"/>
  <c r="U84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C84" i="3"/>
  <c r="U83" i="3"/>
  <c r="T83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E83" i="3"/>
  <c r="D83" i="3"/>
  <c r="C83" i="3"/>
  <c r="U82" i="3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D82" i="3"/>
  <c r="C82" i="3"/>
  <c r="U81" i="3"/>
  <c r="T81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E81" i="3"/>
  <c r="D81" i="3"/>
  <c r="C81" i="3"/>
  <c r="U79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C79" i="3"/>
  <c r="U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C77" i="3"/>
  <c r="U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C76" i="3"/>
  <c r="U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C75" i="3"/>
  <c r="U74" i="3"/>
  <c r="T74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C74" i="3"/>
  <c r="U73" i="3"/>
  <c r="T73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C73" i="3"/>
  <c r="U72" i="3"/>
  <c r="T72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C72" i="3"/>
  <c r="U71" i="3"/>
  <c r="T71" i="3"/>
  <c r="S71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E71" i="3"/>
  <c r="D71" i="3"/>
  <c r="C71" i="3"/>
  <c r="U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C70" i="3"/>
  <c r="U69" i="3"/>
  <c r="T69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C69" i="3"/>
  <c r="W59" i="3"/>
  <c r="W58" i="3"/>
  <c r="W56" i="3"/>
  <c r="W55" i="3"/>
  <c r="W54" i="3"/>
  <c r="W52" i="3"/>
  <c r="W51" i="3"/>
  <c r="X51" i="3" s="1"/>
  <c r="W50" i="3"/>
  <c r="X50" i="3" s="1"/>
  <c r="W49" i="3"/>
  <c r="W48" i="3"/>
  <c r="W47" i="3"/>
  <c r="W46" i="3"/>
  <c r="W44" i="3"/>
  <c r="X44" i="3" s="1"/>
  <c r="W42" i="3"/>
  <c r="W41" i="3"/>
  <c r="W40" i="3"/>
  <c r="W39" i="3"/>
  <c r="W38" i="3"/>
  <c r="W37" i="3"/>
  <c r="W35" i="3"/>
  <c r="X76" i="2"/>
  <c r="X78" i="2"/>
  <c r="X80" i="2"/>
  <c r="X81" i="2"/>
  <c r="X82" i="2"/>
  <c r="X83" i="2"/>
  <c r="X84" i="2"/>
  <c r="X85" i="2"/>
  <c r="X86" i="2"/>
  <c r="X87" i="2"/>
  <c r="X62" i="2"/>
  <c r="X63" i="2"/>
  <c r="X64" i="2"/>
  <c r="X65" i="2"/>
  <c r="X66" i="2"/>
  <c r="X69" i="2"/>
  <c r="X70" i="2"/>
  <c r="X71" i="2"/>
  <c r="X72" i="2"/>
  <c r="X74" i="2"/>
  <c r="X75" i="2"/>
  <c r="X49" i="2"/>
  <c r="X51" i="2"/>
  <c r="X52" i="2"/>
  <c r="X53" i="2"/>
  <c r="X54" i="2"/>
  <c r="X55" i="2"/>
  <c r="X56" i="2"/>
  <c r="X57" i="2"/>
  <c r="X58" i="2"/>
  <c r="X59" i="2"/>
  <c r="V79" i="2"/>
  <c r="V68" i="2"/>
  <c r="V61" i="2"/>
  <c r="V51" i="2"/>
  <c r="V50" i="2" s="1"/>
  <c r="U131" i="2"/>
  <c r="T131" i="2"/>
  <c r="S131" i="2"/>
  <c r="R131" i="2"/>
  <c r="Q131" i="2"/>
  <c r="P131" i="2"/>
  <c r="O131" i="2"/>
  <c r="N131" i="2"/>
  <c r="M131" i="2"/>
  <c r="L131" i="2"/>
  <c r="K131" i="2"/>
  <c r="J131" i="2"/>
  <c r="I131" i="2"/>
  <c r="H131" i="2"/>
  <c r="G131" i="2"/>
  <c r="F131" i="2"/>
  <c r="E131" i="2"/>
  <c r="D131" i="2"/>
  <c r="C131" i="2"/>
  <c r="U130" i="2"/>
  <c r="T130" i="2"/>
  <c r="S130" i="2"/>
  <c r="R130" i="2"/>
  <c r="Q130" i="2"/>
  <c r="P130" i="2"/>
  <c r="O130" i="2"/>
  <c r="N130" i="2"/>
  <c r="M130" i="2"/>
  <c r="L130" i="2"/>
  <c r="K130" i="2"/>
  <c r="J130" i="2"/>
  <c r="I130" i="2"/>
  <c r="H130" i="2"/>
  <c r="G130" i="2"/>
  <c r="F130" i="2"/>
  <c r="E130" i="2"/>
  <c r="D130" i="2"/>
  <c r="C130" i="2"/>
  <c r="U129" i="2"/>
  <c r="T129" i="2"/>
  <c r="S129" i="2"/>
  <c r="R129" i="2"/>
  <c r="Q129" i="2"/>
  <c r="P129" i="2"/>
  <c r="O129" i="2"/>
  <c r="N129" i="2"/>
  <c r="M129" i="2"/>
  <c r="L129" i="2"/>
  <c r="K129" i="2"/>
  <c r="J129" i="2"/>
  <c r="I129" i="2"/>
  <c r="H129" i="2"/>
  <c r="G129" i="2"/>
  <c r="F129" i="2"/>
  <c r="E129" i="2"/>
  <c r="D129" i="2"/>
  <c r="C129" i="2"/>
  <c r="U128" i="2"/>
  <c r="T128" i="2"/>
  <c r="S128" i="2"/>
  <c r="R128" i="2"/>
  <c r="Q128" i="2"/>
  <c r="P128" i="2"/>
  <c r="O128" i="2"/>
  <c r="N128" i="2"/>
  <c r="M128" i="2"/>
  <c r="L128" i="2"/>
  <c r="K128" i="2"/>
  <c r="J128" i="2"/>
  <c r="I128" i="2"/>
  <c r="H128" i="2"/>
  <c r="G128" i="2"/>
  <c r="F128" i="2"/>
  <c r="E128" i="2"/>
  <c r="D128" i="2"/>
  <c r="C128" i="2"/>
  <c r="U127" i="2"/>
  <c r="T127" i="2"/>
  <c r="S127" i="2"/>
  <c r="R127" i="2"/>
  <c r="Q127" i="2"/>
  <c r="P127" i="2"/>
  <c r="O127" i="2"/>
  <c r="N127" i="2"/>
  <c r="M127" i="2"/>
  <c r="L127" i="2"/>
  <c r="K127" i="2"/>
  <c r="J127" i="2"/>
  <c r="I127" i="2"/>
  <c r="H127" i="2"/>
  <c r="G127" i="2"/>
  <c r="F127" i="2"/>
  <c r="E127" i="2"/>
  <c r="D127" i="2"/>
  <c r="C127" i="2"/>
  <c r="U126" i="2"/>
  <c r="T126" i="2"/>
  <c r="S126" i="2"/>
  <c r="R126" i="2"/>
  <c r="Q126" i="2"/>
  <c r="P126" i="2"/>
  <c r="O126" i="2"/>
  <c r="N126" i="2"/>
  <c r="M126" i="2"/>
  <c r="L126" i="2"/>
  <c r="K126" i="2"/>
  <c r="J126" i="2"/>
  <c r="I126" i="2"/>
  <c r="H126" i="2"/>
  <c r="G126" i="2"/>
  <c r="F126" i="2"/>
  <c r="E126" i="2"/>
  <c r="D126" i="2"/>
  <c r="C126" i="2"/>
  <c r="U125" i="2"/>
  <c r="T125" i="2"/>
  <c r="S125" i="2"/>
  <c r="R125" i="2"/>
  <c r="Q125" i="2"/>
  <c r="P125" i="2"/>
  <c r="O125" i="2"/>
  <c r="N125" i="2"/>
  <c r="M125" i="2"/>
  <c r="L125" i="2"/>
  <c r="K125" i="2"/>
  <c r="J125" i="2"/>
  <c r="I125" i="2"/>
  <c r="H125" i="2"/>
  <c r="G125" i="2"/>
  <c r="F125" i="2"/>
  <c r="E125" i="2"/>
  <c r="D125" i="2"/>
  <c r="C125" i="2"/>
  <c r="U124" i="2"/>
  <c r="T124" i="2"/>
  <c r="S124" i="2"/>
  <c r="R124" i="2"/>
  <c r="Q124" i="2"/>
  <c r="P124" i="2"/>
  <c r="O124" i="2"/>
  <c r="N124" i="2"/>
  <c r="M124" i="2"/>
  <c r="L124" i="2"/>
  <c r="K124" i="2"/>
  <c r="J124" i="2"/>
  <c r="I124" i="2"/>
  <c r="H124" i="2"/>
  <c r="G124" i="2"/>
  <c r="F124" i="2"/>
  <c r="E124" i="2"/>
  <c r="D124" i="2"/>
  <c r="C124" i="2"/>
  <c r="U123" i="2"/>
  <c r="T123" i="2"/>
  <c r="S123" i="2"/>
  <c r="R123" i="2"/>
  <c r="Q123" i="2"/>
  <c r="P123" i="2"/>
  <c r="O123" i="2"/>
  <c r="N123" i="2"/>
  <c r="M123" i="2"/>
  <c r="L123" i="2"/>
  <c r="K123" i="2"/>
  <c r="J123" i="2"/>
  <c r="I123" i="2"/>
  <c r="H123" i="2"/>
  <c r="G123" i="2"/>
  <c r="F123" i="2"/>
  <c r="E123" i="2"/>
  <c r="D123" i="2"/>
  <c r="C123" i="2"/>
  <c r="U122" i="2"/>
  <c r="T122" i="2"/>
  <c r="S122" i="2"/>
  <c r="R122" i="2"/>
  <c r="Q122" i="2"/>
  <c r="P122" i="2"/>
  <c r="O122" i="2"/>
  <c r="N122" i="2"/>
  <c r="M122" i="2"/>
  <c r="L122" i="2"/>
  <c r="K122" i="2"/>
  <c r="J122" i="2"/>
  <c r="I122" i="2"/>
  <c r="H122" i="2"/>
  <c r="G122" i="2"/>
  <c r="F122" i="2"/>
  <c r="E122" i="2"/>
  <c r="D122" i="2"/>
  <c r="C122" i="2"/>
  <c r="U121" i="2"/>
  <c r="T121" i="2"/>
  <c r="S121" i="2"/>
  <c r="R121" i="2"/>
  <c r="Q121" i="2"/>
  <c r="P121" i="2"/>
  <c r="O121" i="2"/>
  <c r="N121" i="2"/>
  <c r="M121" i="2"/>
  <c r="L121" i="2"/>
  <c r="K121" i="2"/>
  <c r="J121" i="2"/>
  <c r="I121" i="2"/>
  <c r="H121" i="2"/>
  <c r="G121" i="2"/>
  <c r="F121" i="2"/>
  <c r="E121" i="2"/>
  <c r="D121" i="2"/>
  <c r="C121" i="2"/>
  <c r="U120" i="2"/>
  <c r="T120" i="2"/>
  <c r="S120" i="2"/>
  <c r="R120" i="2"/>
  <c r="Q120" i="2"/>
  <c r="P120" i="2"/>
  <c r="O120" i="2"/>
  <c r="N120" i="2"/>
  <c r="M120" i="2"/>
  <c r="L120" i="2"/>
  <c r="K120" i="2"/>
  <c r="J120" i="2"/>
  <c r="I120" i="2"/>
  <c r="H120" i="2"/>
  <c r="G120" i="2"/>
  <c r="F120" i="2"/>
  <c r="E120" i="2"/>
  <c r="D120" i="2"/>
  <c r="C120" i="2"/>
  <c r="U119" i="2"/>
  <c r="T119" i="2"/>
  <c r="S119" i="2"/>
  <c r="R119" i="2"/>
  <c r="Q119" i="2"/>
  <c r="P119" i="2"/>
  <c r="O119" i="2"/>
  <c r="N119" i="2"/>
  <c r="M119" i="2"/>
  <c r="L119" i="2"/>
  <c r="K119" i="2"/>
  <c r="J119" i="2"/>
  <c r="I119" i="2"/>
  <c r="H119" i="2"/>
  <c r="G119" i="2"/>
  <c r="F119" i="2"/>
  <c r="E119" i="2"/>
  <c r="D119" i="2"/>
  <c r="C119" i="2"/>
  <c r="U118" i="2"/>
  <c r="T118" i="2"/>
  <c r="S118" i="2"/>
  <c r="R118" i="2"/>
  <c r="Q118" i="2"/>
  <c r="P118" i="2"/>
  <c r="O118" i="2"/>
  <c r="N118" i="2"/>
  <c r="M118" i="2"/>
  <c r="L118" i="2"/>
  <c r="K118" i="2"/>
  <c r="J118" i="2"/>
  <c r="I118" i="2"/>
  <c r="H118" i="2"/>
  <c r="G118" i="2"/>
  <c r="F118" i="2"/>
  <c r="E118" i="2"/>
  <c r="D118" i="2"/>
  <c r="C118" i="2"/>
  <c r="U117" i="2"/>
  <c r="T117" i="2"/>
  <c r="S117" i="2"/>
  <c r="R117" i="2"/>
  <c r="Q117" i="2"/>
  <c r="P117" i="2"/>
  <c r="O117" i="2"/>
  <c r="N117" i="2"/>
  <c r="M117" i="2"/>
  <c r="L117" i="2"/>
  <c r="K117" i="2"/>
  <c r="J117" i="2"/>
  <c r="I117" i="2"/>
  <c r="H117" i="2"/>
  <c r="G117" i="2"/>
  <c r="F117" i="2"/>
  <c r="E117" i="2"/>
  <c r="D117" i="2"/>
  <c r="C117" i="2"/>
  <c r="U116" i="2"/>
  <c r="T116" i="2"/>
  <c r="S116" i="2"/>
  <c r="R116" i="2"/>
  <c r="Q116" i="2"/>
  <c r="P116" i="2"/>
  <c r="O116" i="2"/>
  <c r="N116" i="2"/>
  <c r="M116" i="2"/>
  <c r="L116" i="2"/>
  <c r="K116" i="2"/>
  <c r="J116" i="2"/>
  <c r="I116" i="2"/>
  <c r="H116" i="2"/>
  <c r="G116" i="2"/>
  <c r="F116" i="2"/>
  <c r="E116" i="2"/>
  <c r="D116" i="2"/>
  <c r="C116" i="2"/>
  <c r="U115" i="2"/>
  <c r="T115" i="2"/>
  <c r="S115" i="2"/>
  <c r="R115" i="2"/>
  <c r="Q115" i="2"/>
  <c r="P115" i="2"/>
  <c r="O115" i="2"/>
  <c r="N115" i="2"/>
  <c r="M115" i="2"/>
  <c r="L115" i="2"/>
  <c r="K115" i="2"/>
  <c r="J115" i="2"/>
  <c r="I115" i="2"/>
  <c r="H115" i="2"/>
  <c r="G115" i="2"/>
  <c r="F115" i="2"/>
  <c r="E115" i="2"/>
  <c r="D115" i="2"/>
  <c r="C115" i="2"/>
  <c r="U114" i="2"/>
  <c r="T114" i="2"/>
  <c r="S114" i="2"/>
  <c r="R114" i="2"/>
  <c r="Q114" i="2"/>
  <c r="P114" i="2"/>
  <c r="O114" i="2"/>
  <c r="N114" i="2"/>
  <c r="M114" i="2"/>
  <c r="L114" i="2"/>
  <c r="K114" i="2"/>
  <c r="J114" i="2"/>
  <c r="I114" i="2"/>
  <c r="H114" i="2"/>
  <c r="G114" i="2"/>
  <c r="F114" i="2"/>
  <c r="E114" i="2"/>
  <c r="D114" i="2"/>
  <c r="C114" i="2"/>
  <c r="U113" i="2"/>
  <c r="T113" i="2"/>
  <c r="S113" i="2"/>
  <c r="R113" i="2"/>
  <c r="Q113" i="2"/>
  <c r="P113" i="2"/>
  <c r="O113" i="2"/>
  <c r="N113" i="2"/>
  <c r="M113" i="2"/>
  <c r="L113" i="2"/>
  <c r="K113" i="2"/>
  <c r="J113" i="2"/>
  <c r="I113" i="2"/>
  <c r="H113" i="2"/>
  <c r="G113" i="2"/>
  <c r="F113" i="2"/>
  <c r="E113" i="2"/>
  <c r="D113" i="2"/>
  <c r="C113" i="2"/>
  <c r="U112" i="2"/>
  <c r="T112" i="2"/>
  <c r="S112" i="2"/>
  <c r="R112" i="2"/>
  <c r="Q112" i="2"/>
  <c r="P112" i="2"/>
  <c r="O112" i="2"/>
  <c r="N112" i="2"/>
  <c r="M112" i="2"/>
  <c r="L112" i="2"/>
  <c r="K112" i="2"/>
  <c r="J112" i="2"/>
  <c r="I112" i="2"/>
  <c r="H112" i="2"/>
  <c r="G112" i="2"/>
  <c r="F112" i="2"/>
  <c r="E112" i="2"/>
  <c r="D112" i="2"/>
  <c r="C112" i="2"/>
  <c r="U111" i="2"/>
  <c r="T111" i="2"/>
  <c r="S111" i="2"/>
  <c r="R111" i="2"/>
  <c r="Q111" i="2"/>
  <c r="P111" i="2"/>
  <c r="O111" i="2"/>
  <c r="N111" i="2"/>
  <c r="M111" i="2"/>
  <c r="L111" i="2"/>
  <c r="K111" i="2"/>
  <c r="J111" i="2"/>
  <c r="I111" i="2"/>
  <c r="H111" i="2"/>
  <c r="G111" i="2"/>
  <c r="F111" i="2"/>
  <c r="E111" i="2"/>
  <c r="D111" i="2"/>
  <c r="C111" i="2"/>
  <c r="U110" i="2"/>
  <c r="T110" i="2"/>
  <c r="S110" i="2"/>
  <c r="R110" i="2"/>
  <c r="Q110" i="2"/>
  <c r="P110" i="2"/>
  <c r="O110" i="2"/>
  <c r="N110" i="2"/>
  <c r="M110" i="2"/>
  <c r="L110" i="2"/>
  <c r="K110" i="2"/>
  <c r="J110" i="2"/>
  <c r="I110" i="2"/>
  <c r="H110" i="2"/>
  <c r="G110" i="2"/>
  <c r="F110" i="2"/>
  <c r="E110" i="2"/>
  <c r="D110" i="2"/>
  <c r="C110" i="2"/>
  <c r="U109" i="2"/>
  <c r="T109" i="2"/>
  <c r="S109" i="2"/>
  <c r="R109" i="2"/>
  <c r="Q109" i="2"/>
  <c r="P109" i="2"/>
  <c r="O109" i="2"/>
  <c r="N109" i="2"/>
  <c r="M109" i="2"/>
  <c r="L109" i="2"/>
  <c r="K109" i="2"/>
  <c r="J109" i="2"/>
  <c r="I109" i="2"/>
  <c r="H109" i="2"/>
  <c r="G109" i="2"/>
  <c r="F109" i="2"/>
  <c r="E109" i="2"/>
  <c r="D109" i="2"/>
  <c r="C109" i="2"/>
  <c r="U108" i="2"/>
  <c r="T108" i="2"/>
  <c r="S108" i="2"/>
  <c r="R108" i="2"/>
  <c r="Q108" i="2"/>
  <c r="P108" i="2"/>
  <c r="O108" i="2"/>
  <c r="N108" i="2"/>
  <c r="M108" i="2"/>
  <c r="L108" i="2"/>
  <c r="K108" i="2"/>
  <c r="J108" i="2"/>
  <c r="I108" i="2"/>
  <c r="H108" i="2"/>
  <c r="G108" i="2"/>
  <c r="F108" i="2"/>
  <c r="E108" i="2"/>
  <c r="D108" i="2"/>
  <c r="C108" i="2"/>
  <c r="U107" i="2"/>
  <c r="T107" i="2"/>
  <c r="S107" i="2"/>
  <c r="R107" i="2"/>
  <c r="Q107" i="2"/>
  <c r="P107" i="2"/>
  <c r="O107" i="2"/>
  <c r="N107" i="2"/>
  <c r="M107" i="2"/>
  <c r="L107" i="2"/>
  <c r="K107" i="2"/>
  <c r="J107" i="2"/>
  <c r="I107" i="2"/>
  <c r="H107" i="2"/>
  <c r="G107" i="2"/>
  <c r="F107" i="2"/>
  <c r="E107" i="2"/>
  <c r="D107" i="2"/>
  <c r="C107" i="2"/>
  <c r="U106" i="2"/>
  <c r="T106" i="2"/>
  <c r="S106" i="2"/>
  <c r="R106" i="2"/>
  <c r="Q106" i="2"/>
  <c r="P106" i="2"/>
  <c r="O106" i="2"/>
  <c r="N106" i="2"/>
  <c r="M106" i="2"/>
  <c r="L106" i="2"/>
  <c r="K106" i="2"/>
  <c r="J106" i="2"/>
  <c r="I106" i="2"/>
  <c r="H106" i="2"/>
  <c r="G106" i="2"/>
  <c r="F106" i="2"/>
  <c r="E106" i="2"/>
  <c r="D106" i="2"/>
  <c r="C106" i="2"/>
  <c r="U105" i="2"/>
  <c r="T105" i="2"/>
  <c r="S105" i="2"/>
  <c r="R105" i="2"/>
  <c r="Q105" i="2"/>
  <c r="P105" i="2"/>
  <c r="O105" i="2"/>
  <c r="N105" i="2"/>
  <c r="M105" i="2"/>
  <c r="L105" i="2"/>
  <c r="K105" i="2"/>
  <c r="J105" i="2"/>
  <c r="I105" i="2"/>
  <c r="H105" i="2"/>
  <c r="G105" i="2"/>
  <c r="F105" i="2"/>
  <c r="E105" i="2"/>
  <c r="D105" i="2"/>
  <c r="C105" i="2"/>
  <c r="U104" i="2"/>
  <c r="T104" i="2"/>
  <c r="S104" i="2"/>
  <c r="R104" i="2"/>
  <c r="Q104" i="2"/>
  <c r="P104" i="2"/>
  <c r="O104" i="2"/>
  <c r="N104" i="2"/>
  <c r="M104" i="2"/>
  <c r="L104" i="2"/>
  <c r="K104" i="2"/>
  <c r="J104" i="2"/>
  <c r="I104" i="2"/>
  <c r="H104" i="2"/>
  <c r="G104" i="2"/>
  <c r="F104" i="2"/>
  <c r="E104" i="2"/>
  <c r="D104" i="2"/>
  <c r="C104" i="2"/>
  <c r="U103" i="2"/>
  <c r="T103" i="2"/>
  <c r="S103" i="2"/>
  <c r="R103" i="2"/>
  <c r="Q103" i="2"/>
  <c r="P103" i="2"/>
  <c r="O103" i="2"/>
  <c r="N103" i="2"/>
  <c r="M103" i="2"/>
  <c r="L103" i="2"/>
  <c r="K103" i="2"/>
  <c r="J103" i="2"/>
  <c r="I103" i="2"/>
  <c r="H103" i="2"/>
  <c r="G103" i="2"/>
  <c r="F103" i="2"/>
  <c r="E103" i="2"/>
  <c r="D103" i="2"/>
  <c r="C103" i="2"/>
  <c r="U102" i="2"/>
  <c r="T102" i="2"/>
  <c r="S102" i="2"/>
  <c r="R102" i="2"/>
  <c r="Q102" i="2"/>
  <c r="P102" i="2"/>
  <c r="O102" i="2"/>
  <c r="N102" i="2"/>
  <c r="M102" i="2"/>
  <c r="L102" i="2"/>
  <c r="K102" i="2"/>
  <c r="J102" i="2"/>
  <c r="I102" i="2"/>
  <c r="H102" i="2"/>
  <c r="G102" i="2"/>
  <c r="F102" i="2"/>
  <c r="E102" i="2"/>
  <c r="D102" i="2"/>
  <c r="C102" i="2"/>
  <c r="U101" i="2"/>
  <c r="T101" i="2"/>
  <c r="S101" i="2"/>
  <c r="R101" i="2"/>
  <c r="Q101" i="2"/>
  <c r="P101" i="2"/>
  <c r="O101" i="2"/>
  <c r="N101" i="2"/>
  <c r="M101" i="2"/>
  <c r="L101" i="2"/>
  <c r="K101" i="2"/>
  <c r="J101" i="2"/>
  <c r="I101" i="2"/>
  <c r="H101" i="2"/>
  <c r="G101" i="2"/>
  <c r="F101" i="2"/>
  <c r="E101" i="2"/>
  <c r="D101" i="2"/>
  <c r="C101" i="2"/>
  <c r="U100" i="2"/>
  <c r="T100" i="2"/>
  <c r="S100" i="2"/>
  <c r="R100" i="2"/>
  <c r="Q100" i="2"/>
  <c r="P100" i="2"/>
  <c r="O100" i="2"/>
  <c r="N100" i="2"/>
  <c r="M100" i="2"/>
  <c r="L100" i="2"/>
  <c r="K100" i="2"/>
  <c r="J100" i="2"/>
  <c r="I100" i="2"/>
  <c r="H100" i="2"/>
  <c r="G100" i="2"/>
  <c r="F100" i="2"/>
  <c r="E100" i="2"/>
  <c r="D100" i="2"/>
  <c r="C100" i="2"/>
  <c r="U99" i="2"/>
  <c r="T99" i="2"/>
  <c r="S99" i="2"/>
  <c r="R99" i="2"/>
  <c r="Q99" i="2"/>
  <c r="P99" i="2"/>
  <c r="O99" i="2"/>
  <c r="N99" i="2"/>
  <c r="M99" i="2"/>
  <c r="L99" i="2"/>
  <c r="K99" i="2"/>
  <c r="J99" i="2"/>
  <c r="I99" i="2"/>
  <c r="H99" i="2"/>
  <c r="G99" i="2"/>
  <c r="F99" i="2"/>
  <c r="E99" i="2"/>
  <c r="D99" i="2"/>
  <c r="C99" i="2"/>
  <c r="U98" i="2"/>
  <c r="T98" i="2"/>
  <c r="S98" i="2"/>
  <c r="R98" i="2"/>
  <c r="Q98" i="2"/>
  <c r="P98" i="2"/>
  <c r="O98" i="2"/>
  <c r="N98" i="2"/>
  <c r="M98" i="2"/>
  <c r="L98" i="2"/>
  <c r="K98" i="2"/>
  <c r="J98" i="2"/>
  <c r="I98" i="2"/>
  <c r="H98" i="2"/>
  <c r="G98" i="2"/>
  <c r="F98" i="2"/>
  <c r="E98" i="2"/>
  <c r="D98" i="2"/>
  <c r="C98" i="2"/>
  <c r="U97" i="2"/>
  <c r="T97" i="2"/>
  <c r="S97" i="2"/>
  <c r="R97" i="2"/>
  <c r="Q97" i="2"/>
  <c r="P97" i="2"/>
  <c r="O97" i="2"/>
  <c r="N97" i="2"/>
  <c r="M97" i="2"/>
  <c r="L97" i="2"/>
  <c r="K97" i="2"/>
  <c r="J97" i="2"/>
  <c r="I97" i="2"/>
  <c r="H97" i="2"/>
  <c r="G97" i="2"/>
  <c r="F97" i="2"/>
  <c r="E97" i="2"/>
  <c r="D97" i="2"/>
  <c r="C97" i="2"/>
  <c r="U96" i="2"/>
  <c r="T96" i="2"/>
  <c r="S96" i="2"/>
  <c r="R96" i="2"/>
  <c r="Q96" i="2"/>
  <c r="P96" i="2"/>
  <c r="O96" i="2"/>
  <c r="N96" i="2"/>
  <c r="M96" i="2"/>
  <c r="L96" i="2"/>
  <c r="K96" i="2"/>
  <c r="J96" i="2"/>
  <c r="I96" i="2"/>
  <c r="H96" i="2"/>
  <c r="G96" i="2"/>
  <c r="F96" i="2"/>
  <c r="E96" i="2"/>
  <c r="D96" i="2"/>
  <c r="C96" i="2"/>
  <c r="U95" i="2"/>
  <c r="T95" i="2"/>
  <c r="S95" i="2"/>
  <c r="R95" i="2"/>
  <c r="Q95" i="2"/>
  <c r="P95" i="2"/>
  <c r="O95" i="2"/>
  <c r="N95" i="2"/>
  <c r="M95" i="2"/>
  <c r="L95" i="2"/>
  <c r="K95" i="2"/>
  <c r="J95" i="2"/>
  <c r="I95" i="2"/>
  <c r="H95" i="2"/>
  <c r="G95" i="2"/>
  <c r="F95" i="2"/>
  <c r="E95" i="2"/>
  <c r="D95" i="2"/>
  <c r="C95" i="2"/>
  <c r="U94" i="2"/>
  <c r="T94" i="2"/>
  <c r="S94" i="2"/>
  <c r="R94" i="2"/>
  <c r="Q94" i="2"/>
  <c r="P94" i="2"/>
  <c r="O94" i="2"/>
  <c r="N94" i="2"/>
  <c r="M94" i="2"/>
  <c r="L94" i="2"/>
  <c r="K94" i="2"/>
  <c r="J94" i="2"/>
  <c r="I94" i="2"/>
  <c r="H94" i="2"/>
  <c r="G94" i="2"/>
  <c r="F94" i="2"/>
  <c r="E94" i="2"/>
  <c r="D94" i="2"/>
  <c r="C94" i="2"/>
  <c r="U93" i="2"/>
  <c r="T93" i="2"/>
  <c r="S93" i="2"/>
  <c r="R93" i="2"/>
  <c r="Q93" i="2"/>
  <c r="P93" i="2"/>
  <c r="O93" i="2"/>
  <c r="N93" i="2"/>
  <c r="M93" i="2"/>
  <c r="L93" i="2"/>
  <c r="K93" i="2"/>
  <c r="J93" i="2"/>
  <c r="I93" i="2"/>
  <c r="H93" i="2"/>
  <c r="G93" i="2"/>
  <c r="F93" i="2"/>
  <c r="E93" i="2"/>
  <c r="D93" i="2"/>
  <c r="C93" i="2"/>
  <c r="U92" i="2"/>
  <c r="T92" i="2"/>
  <c r="S92" i="2"/>
  <c r="R92" i="2"/>
  <c r="Q92" i="2"/>
  <c r="P92" i="2"/>
  <c r="O92" i="2"/>
  <c r="N92" i="2"/>
  <c r="M92" i="2"/>
  <c r="L92" i="2"/>
  <c r="K92" i="2"/>
  <c r="J92" i="2"/>
  <c r="I92" i="2"/>
  <c r="H92" i="2"/>
  <c r="G92" i="2"/>
  <c r="F92" i="2"/>
  <c r="E92" i="2"/>
  <c r="D92" i="2"/>
  <c r="C92" i="2"/>
  <c r="W87" i="2"/>
  <c r="W86" i="2"/>
  <c r="W85" i="2"/>
  <c r="W84" i="2"/>
  <c r="W83" i="2"/>
  <c r="W82" i="2"/>
  <c r="W81" i="2"/>
  <c r="W80" i="2"/>
  <c r="W78" i="2"/>
  <c r="W77" i="2"/>
  <c r="X77" i="2" s="1"/>
  <c r="W76" i="2"/>
  <c r="W75" i="2"/>
  <c r="W74" i="2"/>
  <c r="W72" i="2"/>
  <c r="W71" i="2"/>
  <c r="W70" i="2"/>
  <c r="W69" i="2"/>
  <c r="W66" i="2"/>
  <c r="W65" i="2"/>
  <c r="W64" i="2"/>
  <c r="W63" i="2"/>
  <c r="W62" i="2"/>
  <c r="W60" i="2"/>
  <c r="X60" i="2" s="1"/>
  <c r="W59" i="2"/>
  <c r="W58" i="2"/>
  <c r="W57" i="2"/>
  <c r="W56" i="2"/>
  <c r="W55" i="2"/>
  <c r="W54" i="2"/>
  <c r="W53" i="2"/>
  <c r="W52" i="2"/>
  <c r="W49" i="2"/>
  <c r="I29" i="10" l="1"/>
  <c r="C17" i="14" s="1"/>
  <c r="C16" i="14"/>
  <c r="B34" i="10"/>
  <c r="C34" i="10"/>
  <c r="D34" i="10"/>
  <c r="E34" i="10"/>
  <c r="F34" i="10"/>
  <c r="G34" i="10"/>
  <c r="H34" i="10"/>
  <c r="Y18" i="9"/>
  <c r="Y16" i="9"/>
  <c r="Y5" i="9"/>
  <c r="X4" i="9"/>
  <c r="Y4" i="9" s="1"/>
  <c r="Y36" i="9"/>
  <c r="X31" i="13"/>
  <c r="W34" i="13"/>
  <c r="X36" i="12"/>
  <c r="X32" i="12"/>
  <c r="X28" i="12"/>
  <c r="X24" i="12"/>
  <c r="D29" i="7"/>
  <c r="H9" i="1" s="1"/>
  <c r="W25" i="9"/>
  <c r="W30" i="9" s="1"/>
  <c r="V25" i="8"/>
  <c r="V30" i="8" s="1"/>
  <c r="V64" i="3" s="1"/>
  <c r="W33" i="9"/>
  <c r="X34" i="13"/>
  <c r="X30" i="13"/>
  <c r="D26" i="6"/>
  <c r="D34" i="6" s="1"/>
  <c r="D42" i="6" s="1"/>
  <c r="D45" i="6" s="1"/>
  <c r="F52" i="39"/>
  <c r="X35" i="13"/>
  <c r="W22" i="13"/>
  <c r="X22" i="13" s="1"/>
  <c r="V29" i="13"/>
  <c r="V37" i="13" s="1"/>
  <c r="V40" i="13" s="1"/>
  <c r="V42" i="13" s="1"/>
  <c r="W10" i="13"/>
  <c r="X10" i="13" s="1"/>
  <c r="C26" i="6"/>
  <c r="C34" i="6" s="1"/>
  <c r="E52" i="39"/>
  <c r="V23" i="12"/>
  <c r="V31" i="12" s="1"/>
  <c r="V39" i="12" s="1"/>
  <c r="V42" i="12" s="1"/>
  <c r="V44" i="12"/>
  <c r="V63" i="3"/>
  <c r="V32" i="8"/>
  <c r="V43" i="3"/>
  <c r="V60" i="3" s="1"/>
  <c r="V67" i="2"/>
  <c r="W26" i="13"/>
  <c r="X26" i="13" s="1"/>
  <c r="W3" i="13"/>
  <c r="W24" i="12"/>
  <c r="W5" i="12"/>
  <c r="X5" i="12" s="1"/>
  <c r="W28" i="12"/>
  <c r="W12" i="12"/>
  <c r="X12" i="12" s="1"/>
  <c r="W32" i="12"/>
  <c r="B30" i="11"/>
  <c r="B21" i="11"/>
  <c r="I17" i="10"/>
  <c r="C24" i="10"/>
  <c r="E24" i="10"/>
  <c r="G24" i="10"/>
  <c r="I24" i="10"/>
  <c r="I31" i="10"/>
  <c r="I37" i="10" s="1"/>
  <c r="I7" i="10"/>
  <c r="C14" i="10"/>
  <c r="C32" i="10" s="1"/>
  <c r="E14" i="10"/>
  <c r="E32" i="10" s="1"/>
  <c r="G14" i="10"/>
  <c r="G32" i="10" s="1"/>
  <c r="I14" i="10"/>
  <c r="I32" i="10" s="1"/>
  <c r="I38" i="10" s="1"/>
  <c r="B32" i="10"/>
  <c r="D32" i="10"/>
  <c r="F32" i="10"/>
  <c r="H32" i="10"/>
  <c r="X15" i="9"/>
  <c r="Y15" i="9" s="1"/>
  <c r="X26" i="9"/>
  <c r="Y26" i="9" s="1"/>
  <c r="Y33" i="9"/>
  <c r="Y34" i="9"/>
  <c r="Y35" i="9"/>
  <c r="W4" i="8"/>
  <c r="X4" i="8" s="1"/>
  <c r="W15" i="8"/>
  <c r="X15" i="8" s="1"/>
  <c r="W26" i="8"/>
  <c r="C29" i="7"/>
  <c r="E7" i="7" s="1"/>
  <c r="W22" i="5"/>
  <c r="V12" i="5"/>
  <c r="V29" i="5" s="1"/>
  <c r="V31" i="5" s="1"/>
  <c r="W26" i="5"/>
  <c r="W5" i="5"/>
  <c r="V23" i="4"/>
  <c r="U3" i="4"/>
  <c r="V6" i="4"/>
  <c r="W6" i="4" s="1"/>
  <c r="V16" i="4"/>
  <c r="V28" i="4"/>
  <c r="V34" i="4"/>
  <c r="W53" i="3"/>
  <c r="W57" i="3"/>
  <c r="W36" i="3"/>
  <c r="V48" i="2"/>
  <c r="W51" i="2"/>
  <c r="W79" i="2"/>
  <c r="W61" i="2"/>
  <c r="W68" i="2"/>
  <c r="W73" i="2"/>
  <c r="B38" i="10" l="1"/>
  <c r="B35" i="10"/>
  <c r="H38" i="10"/>
  <c r="H35" i="10"/>
  <c r="D38" i="10"/>
  <c r="D35" i="10"/>
  <c r="E38" i="10"/>
  <c r="E35" i="10"/>
  <c r="F38" i="10"/>
  <c r="F35" i="10"/>
  <c r="G38" i="10"/>
  <c r="G35" i="10"/>
  <c r="C38" i="10"/>
  <c r="C35" i="10"/>
  <c r="C34" i="7"/>
  <c r="D34" i="7"/>
  <c r="F29" i="7"/>
  <c r="G9" i="1"/>
  <c r="E29" i="7"/>
  <c r="X25" i="9"/>
  <c r="Y25" i="9" s="1"/>
  <c r="V33" i="5"/>
  <c r="W38" i="9"/>
  <c r="W40" i="9"/>
  <c r="V32" i="5"/>
  <c r="W21" i="13"/>
  <c r="X3" i="13"/>
  <c r="V88" i="2"/>
  <c r="V62" i="3" s="1"/>
  <c r="W23" i="12"/>
  <c r="X23" i="12" s="1"/>
  <c r="W31" i="12"/>
  <c r="X31" i="12" s="1"/>
  <c r="C42" i="6"/>
  <c r="W25" i="8"/>
  <c r="W14" i="5"/>
  <c r="W3" i="5"/>
  <c r="V22" i="4"/>
  <c r="V5" i="4"/>
  <c r="W34" i="3"/>
  <c r="W45" i="3"/>
  <c r="W50" i="2"/>
  <c r="W67" i="2"/>
  <c r="W48" i="2"/>
  <c r="X40" i="9" l="1"/>
  <c r="X30" i="9"/>
  <c r="W33" i="5"/>
  <c r="X38" i="9"/>
  <c r="Y30" i="9"/>
  <c r="W30" i="8"/>
  <c r="X33" i="9"/>
  <c r="X25" i="8"/>
  <c r="X21" i="13"/>
  <c r="W29" i="13"/>
  <c r="W39" i="12"/>
  <c r="X39" i="12" s="1"/>
  <c r="C45" i="6"/>
  <c r="W12" i="5"/>
  <c r="V3" i="4"/>
  <c r="W43" i="3"/>
  <c r="W88" i="2"/>
  <c r="W62" i="3" s="1"/>
  <c r="X30" i="8" l="1"/>
  <c r="W64" i="3"/>
  <c r="X29" i="13"/>
  <c r="W37" i="13"/>
  <c r="W42" i="12"/>
  <c r="W29" i="5"/>
  <c r="V43" i="4"/>
  <c r="W60" i="3"/>
  <c r="X37" i="13" l="1"/>
  <c r="W40" i="13"/>
  <c r="W44" i="12"/>
  <c r="W63" i="3"/>
  <c r="W32" i="8"/>
  <c r="X42" i="12"/>
  <c r="W31" i="5"/>
  <c r="F27" i="1"/>
  <c r="X22" i="5" s="1"/>
  <c r="E27" i="1"/>
  <c r="X53" i="3" s="1"/>
  <c r="C39" i="1"/>
  <c r="W34" i="4" s="1"/>
  <c r="B39" i="1"/>
  <c r="X79" i="2" s="1"/>
  <c r="C33" i="1"/>
  <c r="B33" i="1"/>
  <c r="F31" i="1"/>
  <c r="E31" i="1"/>
  <c r="C28" i="1"/>
  <c r="W23" i="4" s="1"/>
  <c r="B28" i="1"/>
  <c r="X68" i="2" s="1"/>
  <c r="C21" i="1"/>
  <c r="W16" i="4" s="1"/>
  <c r="B21" i="1"/>
  <c r="X61" i="2" s="1"/>
  <c r="F19" i="1"/>
  <c r="X14" i="5" s="1"/>
  <c r="F10" i="1"/>
  <c r="F8" i="1" s="1"/>
  <c r="E10" i="1"/>
  <c r="E8" i="1" s="1"/>
  <c r="C10" i="1"/>
  <c r="B10" i="1"/>
  <c r="C8" i="1"/>
  <c r="W3" i="4" s="1"/>
  <c r="X3" i="5" l="1"/>
  <c r="F34" i="7"/>
  <c r="H8" i="1"/>
  <c r="X34" i="3"/>
  <c r="G8" i="1"/>
  <c r="E34" i="7"/>
  <c r="D22" i="28"/>
  <c r="X57" i="3"/>
  <c r="E22" i="28"/>
  <c r="X26" i="5"/>
  <c r="E19" i="1"/>
  <c r="X45" i="3" s="1"/>
  <c r="H10" i="1"/>
  <c r="X5" i="5"/>
  <c r="D53" i="6"/>
  <c r="G10" i="1"/>
  <c r="X36" i="3"/>
  <c r="C53" i="6"/>
  <c r="B27" i="1"/>
  <c r="X67" i="2" s="1"/>
  <c r="I35" i="10"/>
  <c r="W5" i="4"/>
  <c r="X50" i="2"/>
  <c r="I34" i="10"/>
  <c r="X40" i="13"/>
  <c r="W32" i="5"/>
  <c r="W42" i="13"/>
  <c r="F17" i="1"/>
  <c r="X12" i="5" s="1"/>
  <c r="D21" i="32"/>
  <c r="X73" i="2"/>
  <c r="E21" i="32"/>
  <c r="W28" i="4"/>
  <c r="E17" i="1"/>
  <c r="C27" i="1"/>
  <c r="B8" i="1"/>
  <c r="F48" i="1" l="1"/>
  <c r="X29" i="5" s="1"/>
  <c r="E48" i="1"/>
  <c r="X60" i="3" s="1"/>
  <c r="X43" i="3"/>
  <c r="B48" i="1"/>
  <c r="X88" i="2" s="1"/>
  <c r="X48" i="2"/>
  <c r="C48" i="1"/>
  <c r="W22" i="4"/>
  <c r="E50" i="1" l="1"/>
  <c r="F50" i="1"/>
  <c r="W43" i="4"/>
</calcChain>
</file>

<file path=xl/sharedStrings.xml><?xml version="1.0" encoding="utf-8"?>
<sst xmlns="http://schemas.openxmlformats.org/spreadsheetml/2006/main" count="1831" uniqueCount="895">
  <si>
    <t>Numer identyfikacyjny</t>
  </si>
  <si>
    <t>AKTYWA</t>
  </si>
  <si>
    <t>Stan na początek roku</t>
  </si>
  <si>
    <t>Stan na koniec roku</t>
  </si>
  <si>
    <t>PASYWA</t>
  </si>
  <si>
    <t>A. AKTYWA TRWAŁE</t>
  </si>
  <si>
    <t>I. Wartości niematerialne i prawne</t>
  </si>
  <si>
    <t>I. Fundusz jednostki</t>
  </si>
  <si>
    <t>II. Rzeczowe aktywa trwałe</t>
  </si>
  <si>
    <t>1. Środki trwałe</t>
  </si>
  <si>
    <t>1. Zysk netto (+)</t>
  </si>
  <si>
    <t>1.1. Grunty</t>
  </si>
  <si>
    <t>2. Strata netto (-)</t>
  </si>
  <si>
    <t>1.1.1. Grunty stanowiące własność jednostki samorządu terytorialnego, przekazane w użytkowanie wieczyste innym podmiotom</t>
  </si>
  <si>
    <t>1.2. Budynki, lokale i obiekty inżynierii lądowej i wodnej</t>
  </si>
  <si>
    <t>IV. Fundusz mienia zlikwidowanych jednostek</t>
  </si>
  <si>
    <t>1.3. Urządzenia techniczne i maszyny</t>
  </si>
  <si>
    <t>B. Fundusze placówek</t>
  </si>
  <si>
    <t>1.4. Środki transportu</t>
  </si>
  <si>
    <t>C. Państwowe fundusze celowe</t>
  </si>
  <si>
    <t>1.5. Inne środki trwałe</t>
  </si>
  <si>
    <t>2. Środki trwałe w budowie (inwestycje)</t>
  </si>
  <si>
    <t>3. Zaliczki na środki trwałe w budowie (inwestycje)</t>
  </si>
  <si>
    <t>III. Należności długoterminowe</t>
  </si>
  <si>
    <t>IV. Długoterminowe aktywa finansowe</t>
  </si>
  <si>
    <t>1. Akcje i udziały</t>
  </si>
  <si>
    <t>3. Zobowiązania z tytułu ubezpieczeń i innych świadczeń</t>
  </si>
  <si>
    <t>2. Inne papiery wartościowe</t>
  </si>
  <si>
    <t>4. Zobowiązania z tytułu wynagrodzeń</t>
  </si>
  <si>
    <t>3. Inne długoterminowe aktywa finansowe</t>
  </si>
  <si>
    <t>5. Pozostałe zobowiązania</t>
  </si>
  <si>
    <t>V. Nieruchomości inwestycyjne</t>
  </si>
  <si>
    <t>VI. Wartość mienia zlikwidowanych jednostek</t>
  </si>
  <si>
    <t>7. Rozliczenia z tytułu środków na wydatki budżetowe i z tytułu dochodów budżetowych</t>
  </si>
  <si>
    <t>B. AKTYWA OBROTOWE</t>
  </si>
  <si>
    <t>8. Fundusze specjalne</t>
  </si>
  <si>
    <t>I. Zapasy</t>
  </si>
  <si>
    <t>8.1. Zakładowy Fundusz Świadczeń Socjalnych</t>
  </si>
  <si>
    <t>1. Materiały</t>
  </si>
  <si>
    <t>8.2. Inne fundusze</t>
  </si>
  <si>
    <t>2. Półprodukty i produkty w toku</t>
  </si>
  <si>
    <t>III. Rezerwy na zobowiązania</t>
  </si>
  <si>
    <t>3. Produkty gotowe</t>
  </si>
  <si>
    <t>4. Towary</t>
  </si>
  <si>
    <t>1. Rozliczenia międzyokresowe przychodów</t>
  </si>
  <si>
    <t>II. Należności krótkoterminowe</t>
  </si>
  <si>
    <t>1. Należności z tytułu dostaw i usług</t>
  </si>
  <si>
    <t>2. Należności od budżetów</t>
  </si>
  <si>
    <t>3. Należności z tytułu ubezpieczeń i innych świadczeń</t>
  </si>
  <si>
    <t>4. Pozostałe należności</t>
  </si>
  <si>
    <t>5. Rozliczenia z tytułu środków na wydatki budżetowe i z tytułu dochodów budżetowych</t>
  </si>
  <si>
    <t>III. Krótkoterminowe aktywa finansowe</t>
  </si>
  <si>
    <t>1. Środki pieniężne w kasie</t>
  </si>
  <si>
    <t>2. Środki pieniężne na rachunkach bankowych</t>
  </si>
  <si>
    <t>3. Środki pieniężne państwowego funduszu celowego</t>
  </si>
  <si>
    <t>4. Inne środki pieniężne</t>
  </si>
  <si>
    <t>5. Akcje lub udziały</t>
  </si>
  <si>
    <t>6. Inne papiery wartościowe</t>
  </si>
  <si>
    <t>7. Inne krótkoterminowe aktywa finansowe</t>
  </si>
  <si>
    <t>IV. Rozliczenia międzyokresowe</t>
  </si>
  <si>
    <t>SUMA AKTYWÓW</t>
  </si>
  <si>
    <t>SUMA PASYWÓW</t>
  </si>
  <si>
    <t>....................................................</t>
  </si>
  <si>
    <t>Bilans jednostki budżetowej lub samorządowego zakładu budżetowego</t>
  </si>
  <si>
    <t>A. FUNDUSZ</t>
  </si>
  <si>
    <t>II. Wynik finansowy netto (+/-)</t>
  </si>
  <si>
    <t>III.  Odpisy z wyniku finansowego (nadwyżka środków obrotowych) (-)</t>
  </si>
  <si>
    <r>
      <t>D. Zobowiązania i rezerwy na zobowiązania</t>
    </r>
    <r>
      <rPr>
        <sz val="11"/>
        <color theme="1"/>
        <rFont val="Times New Roman"/>
        <family val="1"/>
        <charset val="238"/>
      </rPr>
      <t> </t>
    </r>
  </si>
  <si>
    <r>
      <t> </t>
    </r>
    <r>
      <rPr>
        <b/>
        <sz val="11"/>
        <color theme="1"/>
        <rFont val="Times New Roman"/>
        <family val="1"/>
        <charset val="238"/>
      </rPr>
      <t>I. Zobowiązania długoterminowe</t>
    </r>
  </si>
  <si>
    <t>II. Zobowiązania krótkoterminowe</t>
  </si>
  <si>
    <t>1. Zobowiązania z tytułu dostaw i usług</t>
  </si>
  <si>
    <t>2. Zobowiązania wobec budżetów</t>
  </si>
  <si>
    <t>6.Sumy obce (depozytowe, zabezpieczenie wykonania umów)</t>
  </si>
  <si>
    <t>2. Inne rozliczenia międzyokresowe</t>
  </si>
  <si>
    <t>IV. Rozliczenie międzyokresowe</t>
  </si>
  <si>
    <t>(rok, miesiąc, dzień)</t>
  </si>
  <si>
    <t>(główny księgowy)</t>
  </si>
  <si>
    <t>(kierownik jednostki)</t>
  </si>
  <si>
    <t>Grunty</t>
  </si>
  <si>
    <t>BILANS AKTYWA 31.12.2017</t>
  </si>
  <si>
    <t>Lp.</t>
  </si>
  <si>
    <t>Nazwa pozycji</t>
  </si>
  <si>
    <t>Urz±d Miasta</t>
  </si>
  <si>
    <t>Urz±d Dzielnicy Bemowo</t>
  </si>
  <si>
    <t>Urz±d Dzielnicy Białołęka</t>
  </si>
  <si>
    <t>Urz±d Dzielnicy Bielany</t>
  </si>
  <si>
    <t>Urz±d Dzielnicy Mokotów</t>
  </si>
  <si>
    <t>Urz±d Dzielnicy Ochota</t>
  </si>
  <si>
    <t>Urz±d Dzielnicy Praga Południe</t>
  </si>
  <si>
    <t>Urz±d Dzielnicy Praga Północ</t>
  </si>
  <si>
    <t>Urz±d Dzielnicy Rembertów</t>
  </si>
  <si>
    <t>Urz±d Dzielnicy ¦ródmie¶cie</t>
  </si>
  <si>
    <t>Urz±d Dzielnicy Targówek</t>
  </si>
  <si>
    <t>Urz±d Dzielnicy Ursus</t>
  </si>
  <si>
    <t>Urz±d Dzielnicy Ursynów</t>
  </si>
  <si>
    <t>Urz±d Dzielnicy Wawer</t>
  </si>
  <si>
    <t>Urz±d Dzielnicy Wesoła</t>
  </si>
  <si>
    <t>Urz±d Dzielnicy Wilanów</t>
  </si>
  <si>
    <t>Urz±d Dzielnicy Włochy</t>
  </si>
  <si>
    <t>Urz±d Dzielnicy Wola</t>
  </si>
  <si>
    <t>Urz±d Dzielnicy Żoliborz</t>
  </si>
  <si>
    <t>BIURO KSIĘGOWO¦CI I KONTRASYGNATY</t>
  </si>
  <si>
    <t>Stan na pocz±tek roku</t>
  </si>
  <si>
    <t>A.</t>
  </si>
  <si>
    <t>AKTYWA TRWAŁE</t>
  </si>
  <si>
    <t>I.</t>
  </si>
  <si>
    <t>Warto¶ci niematerialne i prawne</t>
  </si>
  <si>
    <t>II.</t>
  </si>
  <si>
    <t>Rzeczowe aktywa trwałe</t>
  </si>
  <si>
    <t>1.</t>
  </si>
  <si>
    <t>¦rodki trwałe</t>
  </si>
  <si>
    <t>1.1.</t>
  </si>
  <si>
    <t>1.2.</t>
  </si>
  <si>
    <t>Budynki, lokale i obiekty inżynierii l±dowej i wodnej</t>
  </si>
  <si>
    <t>1.3.</t>
  </si>
  <si>
    <t>Urz±dzenia techniczne i maszyny</t>
  </si>
  <si>
    <t>1.4.</t>
  </si>
  <si>
    <t>¦rodki transportu</t>
  </si>
  <si>
    <t>1.5.</t>
  </si>
  <si>
    <t>Inne ¶rodki trwałe</t>
  </si>
  <si>
    <t>2.</t>
  </si>
  <si>
    <t>¦rodki trwałe w budowie (inwestycje)</t>
  </si>
  <si>
    <t>3.</t>
  </si>
  <si>
    <t>Zaliczki na ¶rodki trwałe w budowie (inwestycje)</t>
  </si>
  <si>
    <t>III.</t>
  </si>
  <si>
    <t>Należno¶ci długoterminowe</t>
  </si>
  <si>
    <t>IV.</t>
  </si>
  <si>
    <t>Długoterminowe aktywa finansowe</t>
  </si>
  <si>
    <t>Akcje i udziały</t>
  </si>
  <si>
    <t>Inne papiery warto¶ciowe</t>
  </si>
  <si>
    <t>Inne długoterminowe aktywa finansowe</t>
  </si>
  <si>
    <t>V.</t>
  </si>
  <si>
    <t>Nieruchomo¶ci inwestycyjne</t>
  </si>
  <si>
    <t>VI.</t>
  </si>
  <si>
    <t>Warto¶ć mienia zlikwidowanych jednostek</t>
  </si>
  <si>
    <t>B.</t>
  </si>
  <si>
    <t>AKTYWA OBROTOWE</t>
  </si>
  <si>
    <t>Zapasy</t>
  </si>
  <si>
    <t>Materiały</t>
  </si>
  <si>
    <t>Półprodukty i produkty w toku</t>
  </si>
  <si>
    <t>Produkty gotowe</t>
  </si>
  <si>
    <t>4.</t>
  </si>
  <si>
    <t>Towary</t>
  </si>
  <si>
    <t>Należno¶ci krótkoterminowe</t>
  </si>
  <si>
    <t>Należno¶ci z tytułu dostaw i usług</t>
  </si>
  <si>
    <t>Należno¶ci od budżetów</t>
  </si>
  <si>
    <t>Należno¶ci z tytułu ubezpieczeń i innych ¶wiadczeń</t>
  </si>
  <si>
    <t>Pozostałe należno¶ci</t>
  </si>
  <si>
    <t>5.</t>
  </si>
  <si>
    <t>Rozliczenia z tytułu ¶rodków na wydatki budżetowe z tytułu dochodów budżetowych</t>
  </si>
  <si>
    <t>Krótkoterminowe aktywa finansowe</t>
  </si>
  <si>
    <t>¦rodki pieniężne w kasie</t>
  </si>
  <si>
    <t>¦rodki pieniężne na rachunkach bankowych</t>
  </si>
  <si>
    <t>¦rodki pieniężne państwowego funduszu celowego</t>
  </si>
  <si>
    <t>Inne ¶rodki pieniężne</t>
  </si>
  <si>
    <t>Akcje lub udziały</t>
  </si>
  <si>
    <t>6.</t>
  </si>
  <si>
    <t>7.</t>
  </si>
  <si>
    <t>Inne krótkoterminowe aktywa finansowe</t>
  </si>
  <si>
    <t>Rozliczenie międzyokresowe</t>
  </si>
  <si>
    <t>BILANS AKTYWA 01.01.2018</t>
  </si>
  <si>
    <t>Róznica BZ - BO</t>
  </si>
  <si>
    <t>Eliminacje</t>
  </si>
  <si>
    <t>BILANS PASYWA 31.12.2017</t>
  </si>
  <si>
    <t>FUNDUSZ</t>
  </si>
  <si>
    <t>Fundusz jednostki</t>
  </si>
  <si>
    <t>Wynik finansowy netto (+/-)</t>
  </si>
  <si>
    <t>Zysk netto (+)</t>
  </si>
  <si>
    <t>Strata netto (-)</t>
  </si>
  <si>
    <t>Nadwyżka ¶rodków obrotowych (-)</t>
  </si>
  <si>
    <t>Odpisy z wyniku finansowego (-)</t>
  </si>
  <si>
    <t>Fundusz mienia zlikwidowanych jednostek</t>
  </si>
  <si>
    <t>Państwowe fundusze celowe</t>
  </si>
  <si>
    <t>C.</t>
  </si>
  <si>
    <t>Zobowi±zania i rezerwy na zobowi±zania</t>
  </si>
  <si>
    <t>Zobowi±zania długoterminowe</t>
  </si>
  <si>
    <t>Zobowi±zania krótkoterminowe</t>
  </si>
  <si>
    <t>Zobowi±zania z tytułu dostaw i usług</t>
  </si>
  <si>
    <t>Zobowi±zania wobec budżetów</t>
  </si>
  <si>
    <t>Zobowi±zania z tytułu ubezpieczeń i innych ¶wiadczeń</t>
  </si>
  <si>
    <t>Zobowi±zania z tytułu wynagrodzeń</t>
  </si>
  <si>
    <t>Pozostałe zobowi±zania</t>
  </si>
  <si>
    <t>Sumy obce (depozyty, zabezpieczenie wykonania umów)</t>
  </si>
  <si>
    <t>Rozliczenie z tytułu ¶rodków na wydatki budżetowe i z tytułu dochodów budżetowych</t>
  </si>
  <si>
    <t>Rezerwy na zobowi±zania</t>
  </si>
  <si>
    <t>D.</t>
  </si>
  <si>
    <t>Fundusze specjalne</t>
  </si>
  <si>
    <t>Zakładowy Fundusz ¦wiadczeń Socjalnych</t>
  </si>
  <si>
    <t>Inne fundusze</t>
  </si>
  <si>
    <t>E.</t>
  </si>
  <si>
    <t>ROZLICZENIA MIĘDZYOKRESOWE</t>
  </si>
  <si>
    <t>Rozliczenia międzyokresowe przychodów</t>
  </si>
  <si>
    <t>Inne rozliczenia międzyokresowe</t>
  </si>
  <si>
    <t>BILANS PASYWA 01.01.2018</t>
  </si>
  <si>
    <t>D. Zobowiązania i rezerwy na zobowiązania </t>
  </si>
  <si>
    <t> I. Zobowiązania długoterminowe</t>
  </si>
  <si>
    <t>spr aktywa</t>
  </si>
  <si>
    <t>spr rzis</t>
  </si>
  <si>
    <t>spr fundusz</t>
  </si>
  <si>
    <t>spr wynik fundusz</t>
  </si>
  <si>
    <t>spr nadwyżka fundusz</t>
  </si>
  <si>
    <t>BILANS AKTYWA 31.12.2018</t>
  </si>
  <si>
    <t>BILANS PASYWA 31.12.2018</t>
  </si>
  <si>
    <t>sporządzone na dzień 31.12.2018 r.</t>
  </si>
  <si>
    <t>Stan na koniec roku poprzedniego</t>
  </si>
  <si>
    <t>Stan na koniec roku bieżącego</t>
  </si>
  <si>
    <t>I. Fundusz jednostki na początek okresu (BO)</t>
  </si>
  <si>
    <t>1. Zwiększenia funduszu (z tytułu)</t>
  </si>
  <si>
    <t>1.1. Zysk bilansowy za rok ubiegły</t>
  </si>
  <si>
    <t>1.2. Zrealizowane wydatki budżetowe</t>
  </si>
  <si>
    <t>1.3. Zrealizowane płatności ze środków europejskich</t>
  </si>
  <si>
    <t>1.4. Środki na inwestycje</t>
  </si>
  <si>
    <t>1.5. Aktualizacja wyceny środków trwałych</t>
  </si>
  <si>
    <t>1.6. Nieodpłatnie otrzymane środki trwałe i środki trwałe w budowie oraz wartości niematerialne i prawne</t>
  </si>
  <si>
    <t>1.7. Aktywa przejęte od zlikwidowanych lub połączonych jednostek</t>
  </si>
  <si>
    <t>1.8. Aktywa otrzymane w ramach centralnego zaopatrzenia</t>
  </si>
  <si>
    <t>1.9. Pozostałe odpisy z wyniku finansowego za rok bieżący</t>
  </si>
  <si>
    <t>1.10. Inne zwiększenia</t>
  </si>
  <si>
    <t>2. Zmniejszenia funduszu jednostki (z tytułu)</t>
  </si>
  <si>
    <t>2.1. Strata za rok ubiegły</t>
  </si>
  <si>
    <t>2.2. Zrealizowane dochody budżetowe</t>
  </si>
  <si>
    <t>2.3. Rozliczenie wyniku finansowego i środków obrotowych za rok ubiegły</t>
  </si>
  <si>
    <t>2.4. Dotacje i środki na inwestycje</t>
  </si>
  <si>
    <t>2.5. Aktualizacja wyceny środków trwałych</t>
  </si>
  <si>
    <t>2.6. Wartość sprzedanych i nieodpłatnie przekazanych środków trwałych i środków trwałych w budowie oraz wartości niematerialnych i prawnych</t>
  </si>
  <si>
    <t>2.7. Pasywa przejęte od zlikwidowanych lub połączonych jednostek</t>
  </si>
  <si>
    <t>2.8. Aktywa przekazane w ramach centralnego zaopatrzenia</t>
  </si>
  <si>
    <t>2.9. Inne zmniejszenia</t>
  </si>
  <si>
    <t>II. Fundusz jednostki na koniec okresu (BZ)</t>
  </si>
  <si>
    <t>III. Wynik finansowy netto za rok bieżący</t>
  </si>
  <si>
    <t>1. zysk netto (+)</t>
  </si>
  <si>
    <t>2. strata netto (-)</t>
  </si>
  <si>
    <t>3. nadwyżka środków obrotowych</t>
  </si>
  <si>
    <t>V. Fundusz (II+,-III-IV)</t>
  </si>
  <si>
    <t>(rok-miesiąc-dzień)</t>
  </si>
  <si>
    <t>.................................................</t>
  </si>
  <si>
    <t>........................................</t>
  </si>
  <si>
    <t>Zestawienie zmian w funduszu jednostki</t>
  </si>
  <si>
    <t>Fundusz jednostki na pocz±tek okresu (BO)</t>
  </si>
  <si>
    <t>Zwiększenia funduszu (z tytułu)</t>
  </si>
  <si>
    <t>Zysk bilansowy za rok ubiegły</t>
  </si>
  <si>
    <t>Zrealizowane wydatki budżetowe</t>
  </si>
  <si>
    <t>Zrealizowane płatno¶ci ze ¶rodków europejskich</t>
  </si>
  <si>
    <t>¦rodki na inwestycje</t>
  </si>
  <si>
    <t>Aktualizacja wyceny ¶rodków trwałych</t>
  </si>
  <si>
    <t>1.6.</t>
  </si>
  <si>
    <t>Nieodpłatnie otrzymane ¶rodki trwałe i ¶rodki trwałe w budowie oraz warto¶ci niematerialne i prawne</t>
  </si>
  <si>
    <t>1.7.</t>
  </si>
  <si>
    <t>Aktywa przejęte od zlikwidowanych lub poł±czonych jednostek</t>
  </si>
  <si>
    <t>1.8.</t>
  </si>
  <si>
    <t>Aktywa otrzymane w ramach centralnego zaopatrzenia</t>
  </si>
  <si>
    <t>1.9.</t>
  </si>
  <si>
    <t>Pozostałe odpisy z wyniku finansowego za rok bież±cy</t>
  </si>
  <si>
    <t>1.10.</t>
  </si>
  <si>
    <t>Inne zwiększenia</t>
  </si>
  <si>
    <t>Zmniejszenia funduszu jednostki (z tytułu)</t>
  </si>
  <si>
    <t>2.1.</t>
  </si>
  <si>
    <t>Strata za rok ubiegły</t>
  </si>
  <si>
    <t>2.2.</t>
  </si>
  <si>
    <t>Zrealizowane dochody budżetowe</t>
  </si>
  <si>
    <t>2.3.</t>
  </si>
  <si>
    <t>Rozliczenie wyniku finansowego i ¶rodków obrotowych za rok ubiegły</t>
  </si>
  <si>
    <t>2.4.</t>
  </si>
  <si>
    <t>Dotacje i ¶rodki na inwestycje</t>
  </si>
  <si>
    <t>2.5.</t>
  </si>
  <si>
    <t>2.6.</t>
  </si>
  <si>
    <t>Warto¶ć sprzedanych i nieodpłatnie przekazanych ¶rodków trwałych i ¶rodków trwałych w budowie oraz warto¶ci niematerialnych i prawnych</t>
  </si>
  <si>
    <t>2.7.</t>
  </si>
  <si>
    <t>Pasywa przejęte od zlikwidowanych lub poł±czonych jednostek</t>
  </si>
  <si>
    <t>2.8.</t>
  </si>
  <si>
    <t>Aktywa przekazane w ramach centralnego zaopatrzenia</t>
  </si>
  <si>
    <t>2.9.</t>
  </si>
  <si>
    <t>Inne zmniejszenia</t>
  </si>
  <si>
    <t>Fundusz jednostki na koniec okresu (BZ)</t>
  </si>
  <si>
    <t>Wynik finansowy netto za rok bież±cy</t>
  </si>
  <si>
    <t>zysk netto (+)</t>
  </si>
  <si>
    <t>strata netto (-)</t>
  </si>
  <si>
    <t>2.5. Aktualizacja środków trwałych</t>
  </si>
  <si>
    <t>III. Wynik finansowy netto za rok bieżący (+,-)</t>
  </si>
  <si>
    <t>IV. Fundusz (II+,-III)</t>
  </si>
  <si>
    <t>spr wynik</t>
  </si>
  <si>
    <t>Zestawienie Zmian w Funduszu 31.12.2018</t>
  </si>
  <si>
    <t>nadwyżka ¶rodków obrotowych</t>
  </si>
  <si>
    <t>Fundusz (II+/-III)</t>
  </si>
  <si>
    <t xml:space="preserve">spr zysk </t>
  </si>
  <si>
    <t>spr strata</t>
  </si>
  <si>
    <t>spr nadwyżka</t>
  </si>
  <si>
    <t>spr fundusz bilans</t>
  </si>
  <si>
    <t>¦RODKI TRWAŁE</t>
  </si>
  <si>
    <t>Rzeczowy maj±tek trwały</t>
  </si>
  <si>
    <t>w tym:</t>
  </si>
  <si>
    <t>¦rodki trwałe w budowie (inwestycje) oraz zaliczki na poczet inwestycji</t>
  </si>
  <si>
    <t>RAZEM</t>
  </si>
  <si>
    <t>Warto¶ć pocz±tkowa</t>
  </si>
  <si>
    <t>Saldo otwarcia (BO)</t>
  </si>
  <si>
    <t>Zwiększenia, w tym:</t>
  </si>
  <si>
    <t>Nabycie</t>
  </si>
  <si>
    <t>Inne</t>
  </si>
  <si>
    <t>Przemieszczenia</t>
  </si>
  <si>
    <t>Zmniejszenia, w tym:</t>
  </si>
  <si>
    <t>Likwidacja i sprzedaż</t>
  </si>
  <si>
    <t>Saldo zamknięcia (BZ)</t>
  </si>
  <si>
    <t>Umorzenie + Amortyzacja</t>
  </si>
  <si>
    <t>Saldo otwarcia</t>
  </si>
  <si>
    <t>Amortyzacja okresu</t>
  </si>
  <si>
    <t>Saldo zamknięcia</t>
  </si>
  <si>
    <t>Odpisy aktualizuj±ce</t>
  </si>
  <si>
    <t>Zwiększenia</t>
  </si>
  <si>
    <t>Zmniejszenia</t>
  </si>
  <si>
    <t>Warto¶ć netto</t>
  </si>
  <si>
    <t>Salgo zamknięcia</t>
  </si>
  <si>
    <t>spr bilans</t>
  </si>
  <si>
    <t>Grunty stanowi±ce własno¶ć jednostki samorz±du terytorialnego, przekazane w użytkowanie wieczyste innym podmiotom</t>
  </si>
  <si>
    <t>WARTOŚCI NIEMATERIALNE I PRAWNE</t>
  </si>
  <si>
    <t>Wartości niematerialne i prawne ogółem</t>
  </si>
  <si>
    <t>Wartość początkowa</t>
  </si>
  <si>
    <t>Umorzenie</t>
  </si>
  <si>
    <t>Odpisy aktualizujące</t>
  </si>
  <si>
    <t>Wartość netto</t>
  </si>
  <si>
    <t>(wariant porównawczy)</t>
  </si>
  <si>
    <t>sporządzony na dzień 31.12.2018 r.</t>
  </si>
  <si>
    <t>A. Przychody netto z podstawowej działalności operacyjnej</t>
  </si>
  <si>
    <t>I. Przychody netto ze sprzedaży produktów</t>
  </si>
  <si>
    <t>II. Zmiana stanu produktów (zwiększenie - wartość dodatnia, zmniejszenie - wartość ujemna)</t>
  </si>
  <si>
    <t> III. Koszt wytworzenia produktów na własne potrzeby jednostki</t>
  </si>
  <si>
    <t> IV. Przychody netto ze sprzedaży towarów i materiałów</t>
  </si>
  <si>
    <t> V. Dotacje na finansowanie działalności podstawowej</t>
  </si>
  <si>
    <t>VI. Przychody z tytułu dochodów budżetowych</t>
  </si>
  <si>
    <t>B. Koszty działalności operacyjnej</t>
  </si>
  <si>
    <t>I. Amortyzacja</t>
  </si>
  <si>
    <t>II. Zużycie materiałów i energii</t>
  </si>
  <si>
    <t>III. Usługi obce</t>
  </si>
  <si>
    <t>IV. Podatki i opłaty</t>
  </si>
  <si>
    <t>V. Wynagrodzenia</t>
  </si>
  <si>
    <t>VI. Ubezpieczenia społeczne i inne świadczenia dla pracowników</t>
  </si>
  <si>
    <t>VII. Pozostałe koszty rodzajowe</t>
  </si>
  <si>
    <t>VIII. Wartość sprzedanych towarów i materiałów</t>
  </si>
  <si>
    <t>IX. Inne świadczenia finansowane z budżetu</t>
  </si>
  <si>
    <t>X. Pozostałe obciążenia</t>
  </si>
  <si>
    <t>C. Zysk (strata) z działalności podstawowej (A-B)</t>
  </si>
  <si>
    <t>D. Pozostałe przychody operacyjne</t>
  </si>
  <si>
    <t>I. Zysk ze zbycia niefinansowych aktywów trwałych</t>
  </si>
  <si>
    <t>II. Dotacje</t>
  </si>
  <si>
    <t>III. Inne przychody operacyjne</t>
  </si>
  <si>
    <t>E. Pozostałe koszty operacyjne</t>
  </si>
  <si>
    <t>I. Koszty inwestycji finansowanych ze środków własnych samorządowych zakładów budżetowych i dochodów jednostek budżetowych gromadzonych na wydzielonym rachunku</t>
  </si>
  <si>
    <t>II. Pozostałe koszty operacyjne</t>
  </si>
  <si>
    <t>F. Zysk (strata) z działalności operacyjnej (C+D-E)</t>
  </si>
  <si>
    <t>G. Przychody finansowe</t>
  </si>
  <si>
    <t>I. Dywidendy i udziały w zyskach</t>
  </si>
  <si>
    <t>II. Odsetki</t>
  </si>
  <si>
    <t>III. Inne</t>
  </si>
  <si>
    <t>H. Koszty finansowe</t>
  </si>
  <si>
    <t>I. Odsetki</t>
  </si>
  <si>
    <t>II. Inne</t>
  </si>
  <si>
    <t>I. Zysk (strata) brutto (F+G-H)</t>
  </si>
  <si>
    <t>J. Podatek dochodowy</t>
  </si>
  <si>
    <t>K. Pozostałe obowiązkowe zmniejszenia zysku (zwiększenia straty)</t>
  </si>
  <si>
    <t>L. Zysk (strata) netto (I-J-K)</t>
  </si>
  <si>
    <t>..................................................</t>
  </si>
  <si>
    <t>Rachunek zysków i strat jednostki</t>
  </si>
  <si>
    <t>Przychody netto z podstawowej działalno¶ci operacyjnej</t>
  </si>
  <si>
    <t>Przychody netto ze sprzedaży produktów</t>
  </si>
  <si>
    <t>Zmiana stanu produktów (zwiększenie - warto¶ć dodatnia, zmniejszenie - warto¶ć ujemna)</t>
  </si>
  <si>
    <t>Koszt wytworzenia produktów na własne potrzeby jednostki</t>
  </si>
  <si>
    <t>Przychody netto ze sprzedaży towarów i materiałów</t>
  </si>
  <si>
    <t>Dotacje na finansowanie działalno¶ci podstawowej</t>
  </si>
  <si>
    <t>Przychody z tytułu dochodów budżetowych</t>
  </si>
  <si>
    <t>Koszty działalno¶ci operacyjnej</t>
  </si>
  <si>
    <t>Amortyzacja</t>
  </si>
  <si>
    <t>Zużycie materiałów i energii</t>
  </si>
  <si>
    <t>Usługi obce</t>
  </si>
  <si>
    <t>Podatki i opłaty</t>
  </si>
  <si>
    <t>Wynagrodzenia</t>
  </si>
  <si>
    <t>Ubezpieczenia społeczne i inne ¶wiadczenia dla pracowników</t>
  </si>
  <si>
    <t>VII.</t>
  </si>
  <si>
    <t>Pozostałe koszty rodzajowe</t>
  </si>
  <si>
    <t>VIII.</t>
  </si>
  <si>
    <t>Warto¶ć sprzedanych towarów i materiałów</t>
  </si>
  <si>
    <t>IX.</t>
  </si>
  <si>
    <t>X.</t>
  </si>
  <si>
    <t>Pozostałe obci±żenia</t>
  </si>
  <si>
    <t>Pozostałe przychody operacyjne</t>
  </si>
  <si>
    <t>Zysk ze zbycia niefinansowych aktywów trwałych</t>
  </si>
  <si>
    <t>Dotacje</t>
  </si>
  <si>
    <t>Inne przychody operacyjne</t>
  </si>
  <si>
    <t>Pozostałe koszty operacyjne</t>
  </si>
  <si>
    <t>Koszty inwestycji finansowanych ze ¶rodków własnych samorz±dowych zakładów budżetowych i dochodów jednostek budżetowych gromadzonych na wydzielonym rachunku</t>
  </si>
  <si>
    <t>F.</t>
  </si>
  <si>
    <t>Zysk (strata) z działalno¶ci operacyjnej (C+D-E)</t>
  </si>
  <si>
    <t>G.</t>
  </si>
  <si>
    <t>Przychody finansowe</t>
  </si>
  <si>
    <t>Dywidendy i udziały w zyskach</t>
  </si>
  <si>
    <t>Odsetki</t>
  </si>
  <si>
    <t>H.</t>
  </si>
  <si>
    <t>Koszty finansowe</t>
  </si>
  <si>
    <t>J.</t>
  </si>
  <si>
    <t>K.</t>
  </si>
  <si>
    <t>L.</t>
  </si>
  <si>
    <t>Podatek dochodowy</t>
  </si>
  <si>
    <t>Rachunek Zysków i Strat 31.12.2018</t>
  </si>
  <si>
    <t>Stan na koniec roku bież±cego</t>
  </si>
  <si>
    <t>Inne ¶wiadczenia finansowane z budżetu</t>
  </si>
  <si>
    <t>Zysk(strata) z działalno¶ci podstawowej (A-B)</t>
  </si>
  <si>
    <t>Zysk (strata) brutto (F+G-H)</t>
  </si>
  <si>
    <t>Pozostałe obowi±zkowe zmniejszenia zysku (zwiększenia straty)</t>
  </si>
  <si>
    <t>Zysk (strata) netto (I-J-K)</t>
  </si>
  <si>
    <t>Amortyzacja noty</t>
  </si>
  <si>
    <t>Informacja dodatkowa do sprawozdania finansowego za rok obrotowy zakończony 31-12-2018</t>
  </si>
  <si>
    <t>II. Dodatkowe informacje i objaśnienia</t>
  </si>
  <si>
    <t>II.1.3. Odpisy aktualizujące wartość długoterminowych aktywów</t>
  </si>
  <si>
    <t>Długoterminowe aktywa niefinansowe</t>
  </si>
  <si>
    <t>Wartości niematerialne i prawne</t>
  </si>
  <si>
    <t>Należności długoterminowe</t>
  </si>
  <si>
    <t>Nieruchomości inwestycyjne</t>
  </si>
  <si>
    <t>Wartość mienia zlikwidowanych jednostek</t>
  </si>
  <si>
    <t>Inne papiery wartościowe</t>
  </si>
  <si>
    <t>Kwota dokonanych w trakcie roku obrotowego odpisów aktualizujących</t>
  </si>
  <si>
    <t>Kwota zmniejszeń odpisów aktualizujących w trakcie roku obrotowego</t>
  </si>
  <si>
    <t>II.1.1.c. Informacja o zasobach dóbr kultury (zabytkach)</t>
  </si>
  <si>
    <t>Wyszczególnienie</t>
  </si>
  <si>
    <t>Zabytki ruchome (w szczególności: dzieła sztuk plastycznych, rzemiosła artystycznego, numizmaty, pamiątki historyczne, materiały biblioteczne, instrumenty muzyczne, wytwory sztuki ludowej)</t>
  </si>
  <si>
    <t>Zabytki nieruchome (w szczególności: dzieła architektury i budownictwa, pomniki, tablice pamiątkowe, cmentarze, parki i ogrody, obiekty techniki)</t>
  </si>
  <si>
    <t>Zabytki archeologiczne (w szczególności: pozostałości terenowe pradziejowego i historycznego osadnictwa, kurhany, relikty działalności gospodarczej, religijnej i artystycznej)</t>
  </si>
  <si>
    <t>Ogółem</t>
  </si>
  <si>
    <t>Wartość początkowa na początek okresu</t>
  </si>
  <si>
    <t>Zakup</t>
  </si>
  <si>
    <t>Sprzedaż</t>
  </si>
  <si>
    <t>Przekazanie</t>
  </si>
  <si>
    <t>Inne (likwidacja)</t>
  </si>
  <si>
    <t>Wartość początkowa na koniec okresu</t>
  </si>
  <si>
    <t>Odpisy na początek okresu</t>
  </si>
  <si>
    <t>Sprzedanych</t>
  </si>
  <si>
    <t>Zlikwidowanych</t>
  </si>
  <si>
    <t>Odpisy na koniec okresu</t>
  </si>
  <si>
    <t>Wartość netto na początek okresu</t>
  </si>
  <si>
    <t>Wartość netto na koniec okresu</t>
  </si>
  <si>
    <t>II.1.2. Aktualna wartość rynkowa środków trwałych, o ile jednostka dysponuje takimi informacjami</t>
  </si>
  <si>
    <t>Treść</t>
  </si>
  <si>
    <t>Środki trwałe</t>
  </si>
  <si>
    <t>Dobra kultury</t>
  </si>
  <si>
    <t>II.1.4. Grunty użytkowane wieczy¶cie</t>
  </si>
  <si>
    <t>Tre¶ć</t>
  </si>
  <si>
    <t>Warto¶ć gruntów użytkowanych wieczy¶cie</t>
  </si>
  <si>
    <t>II.1.5.Wartość nieamortyzowanych lub nieumarzanych przez jednostkę środków trwałych, używanych na podstawie umów najmu, dzierżawy i innych umów, w tym z tytułu umów leasingu</t>
  </si>
  <si>
    <t>Stan na początek roku (netto)</t>
  </si>
  <si>
    <t>Stan na koniec roku obrotowego (netto)</t>
  </si>
  <si>
    <r>
      <t xml:space="preserve">Wartość nieamortyzowanych lub nie umarzanych przez jednostkę środków trwałych, używanych na podstawie umów najmu, dzierżawy i innych umów, w tym z tytułu umów leasingu </t>
    </r>
    <r>
      <rPr>
        <b/>
        <sz val="8"/>
        <color theme="1"/>
        <rFont val="Verdana"/>
        <family val="2"/>
        <charset val="238"/>
      </rPr>
      <t>(ewidencja pozabilansowa)</t>
    </r>
  </si>
  <si>
    <t>Budynki, lokale i obiekty inżynierii lądowej i wodnej</t>
  </si>
  <si>
    <t>Urządzenia techniczne i maszyny</t>
  </si>
  <si>
    <t>Środki transportu</t>
  </si>
  <si>
    <t>Inne środki trwałe</t>
  </si>
  <si>
    <t>Urząd Miasta Stołecznego Warszawy</t>
  </si>
  <si>
    <t>Nazwa podmiotu</t>
  </si>
  <si>
    <t>Wartość brutto udziałów/akcji</t>
  </si>
  <si>
    <t>Odpis</t>
  </si>
  <si>
    <t>Wartość bilansowa udziałów/akcji</t>
  </si>
  <si>
    <t>Udział w kapitale własnym (%)</t>
  </si>
  <si>
    <t>Zysk/strata netto za rok zakończony dnia 31 grudnia bieżącego roku</t>
  </si>
  <si>
    <t>Kapitały własne na dzień 31 grudnia bieżącego roku</t>
  </si>
  <si>
    <t xml:space="preserve">GGKO ? Zarządzanie Nieruchomościami Sp. z o.o. </t>
  </si>
  <si>
    <t>Metro Warszawskie Spółka z o.o.</t>
  </si>
  <si>
    <t>Miejskie Przedsiębiorstwo Oczyszczania w m. st. Warszawie Spółka z o.o.</t>
  </si>
  <si>
    <t>Miejskie Przedsiębiorstwo Realizacji Inwestycji Sp. z o.o.</t>
  </si>
  <si>
    <t>MIEJSKIE PRZEDSIĘB.TAKSÓWKOWE SPÓŁKA Z O.O.</t>
  </si>
  <si>
    <t>Miejskie Przedsiębiorstwo Usług Komunalnych Spółka z o.o.</t>
  </si>
  <si>
    <t xml:space="preserve">Miejskie Przedsiębiorstwo Wodociągów i Kanalizacji w m. st. Warszawie SA </t>
  </si>
  <si>
    <t>Miejskie Zakłady Autobusowe Spółka z o.o.</t>
  </si>
  <si>
    <t>Przedsięb. Gospodarki Maszynami Budownictwa Warszawa</t>
  </si>
  <si>
    <t>"WAREXPO" Sp. z o.o.</t>
  </si>
  <si>
    <t>Szybka Kolej Miejska Spółka z o.o.</t>
  </si>
  <si>
    <t>Towarzystwo Budownictwa Społecznego Warszawa Południe Spółka z o.o.</t>
  </si>
  <si>
    <t>TBS Warszawa Północ Spółka z o.o.</t>
  </si>
  <si>
    <t>Tramwaje Warszawskie Spółka z o.o.</t>
  </si>
  <si>
    <t>Zarząd Pałacu Kultury i Nauki SPÓŁKA z O.O.</t>
  </si>
  <si>
    <t>Centrum Medyczne Żelazna Spółka z o.o.</t>
  </si>
  <si>
    <t>Szpital Solec</t>
  </si>
  <si>
    <t>Stołeczne Centrum Opiekuńczo-Lecznicze Spółka z o.o.</t>
  </si>
  <si>
    <t>Szpital Praskip.w. Przemienienia Pańskiego</t>
  </si>
  <si>
    <t>Szpital Grochowski im. Dr med.. Rafała Masztaka</t>
  </si>
  <si>
    <t>Szpital Czerniakowski Spółka z o.o.</t>
  </si>
  <si>
    <t>Sedeco Spółka z o.o.</t>
  </si>
  <si>
    <t>Country House U.A. sp. z o.o. w likwidacji</t>
  </si>
  <si>
    <t>Mazowiecki Fundusz Poręczeń Kredytowych Sp. z o.o.</t>
  </si>
  <si>
    <t>INNE (poniżej 20%)</t>
  </si>
  <si>
    <t>Razem:</t>
  </si>
  <si>
    <t>Zysk/strata netto za rok zakończony dnia 31 grudnia poprzedniego roku</t>
  </si>
  <si>
    <t>Kapitały własne na dzień 31 grudnia poprzedniego roku</t>
  </si>
  <si>
    <t>Przedsiębiorstwo Gospodarki Maszynami Budownictwa "Warszawa" Spółka z o.o.</t>
  </si>
  <si>
    <t>II.1.6. Liczba i wartość posiadanych akcji i udziałów</t>
  </si>
  <si>
    <t>Liczba udziałów/akcji</t>
  </si>
  <si>
    <t>II.1.7. Odpisy aktualizujące wartość należności</t>
  </si>
  <si>
    <t>Wyszczególnienie odpisów z tytułu</t>
  </si>
  <si>
    <t>Zmiany stanu odpisów w ciągu roku obrotowego</t>
  </si>
  <si>
    <t>Stan na koniec roku obrotowego</t>
  </si>
  <si>
    <t>Wykorzystanie</t>
  </si>
  <si>
    <t>Rozwiązanie</t>
  </si>
  <si>
    <t>w tym: należności finansowe (pożyczki zagrożone)</t>
  </si>
  <si>
    <t>Należności krótkoterminowe</t>
  </si>
  <si>
    <t>Należności alimentacyjne</t>
  </si>
  <si>
    <t>Rezerwy na zobowiązania - zmiany w ciągu roku obrotowego</t>
  </si>
  <si>
    <t>Kategoria</t>
  </si>
  <si>
    <t>Utworzone</t>
  </si>
  <si>
    <t>Wykorzystane</t>
  </si>
  <si>
    <t>Rozwiązane</t>
  </si>
  <si>
    <t>Rezerwa na straty z tytułu udzielonych gwarancji i poręczeń</t>
  </si>
  <si>
    <t>Rezerwy na odszkodowania z tytułu naruszenia zasady pierwszeństwa</t>
  </si>
  <si>
    <t>Rezerwy za grunty wydzielone pod drogi</t>
  </si>
  <si>
    <t>Rezerwy za wywłaszczenie nieruchomości</t>
  </si>
  <si>
    <r>
      <t>Rezerwy na odszkodowania za nieruchomości warszawskie</t>
    </r>
    <r>
      <rPr>
        <sz val="8"/>
        <color theme="1"/>
        <rFont val="Calibri"/>
        <family val="2"/>
        <charset val="238"/>
        <scheme val="minor"/>
      </rPr>
      <t xml:space="preserve"> (DEKRET BIERUTA z dnia 26 października 1945r.)</t>
    </r>
  </si>
  <si>
    <t xml:space="preserve">Rezerwy na odszkodowania związane z uchwaleniem planu miejscowego zagospodarowania </t>
  </si>
  <si>
    <t xml:space="preserve">Rezerwy za grunty zajęte pod drogi </t>
  </si>
  <si>
    <t>Rezerwy za grunty przejęte pod drogi w oparciu o tzw. Specustawę</t>
  </si>
  <si>
    <t>Rezerwy na odszkodowania z tytułu bezumownego korzystania z gruntu</t>
  </si>
  <si>
    <t>Inne rezerwy, w tym:</t>
  </si>
  <si>
    <t>o zasiedzenie</t>
  </si>
  <si>
    <t>z tyt. zwrotu nieruchomości</t>
  </si>
  <si>
    <t>za niedostarczenie lokalu socjalnego</t>
  </si>
  <si>
    <t>odszkod. z tytułu decyzji sprzedażowych lokali oraz utratę wartości sprzedanych lokali, zapłatę wykupu lokalu użytkowego</t>
  </si>
  <si>
    <t>z tyt. wypadku (szkoda komunikacyjna, osobowa)</t>
  </si>
  <si>
    <t>z tyt. odmowy wydania zezwolenia</t>
  </si>
  <si>
    <t>z tyt. poniesionych nakładów</t>
  </si>
  <si>
    <t>z tyt. wydania decyzji z naruszeniem prawa lub nieważności decyzji</t>
  </si>
  <si>
    <t>z tyt. utraty praw własności</t>
  </si>
  <si>
    <t>z tyt. przewlekłości postępowania sądowego</t>
  </si>
  <si>
    <t>z tyt. zbycia wywłaszczonej nieruchomości</t>
  </si>
  <si>
    <t>kary umowne</t>
  </si>
  <si>
    <t>za użytkowanie wieczyste</t>
  </si>
  <si>
    <t>odszkodowanie za naruszenie dóbr osobistych</t>
  </si>
  <si>
    <t>roszczenia pracownicze z tyt. rozwiązania umowy</t>
  </si>
  <si>
    <t>odszkodowanie za szkodę wyrządzoną, nie wykonanie prawa pierwokupu</t>
  </si>
  <si>
    <t>odszk. o unieważnienie umowy, przedłużenie okresu umowy, rozwiązanie umowy</t>
  </si>
  <si>
    <t>odszkod. z tyt. umowy dzierzawy</t>
  </si>
  <si>
    <t>odszkod. z tytułu utraty wartości nieruchomości</t>
  </si>
  <si>
    <t>pozostałe*</t>
  </si>
  <si>
    <t>Razem</t>
  </si>
  <si>
    <t>II.1.9. Zobowiązania długoterminowe według zapadalności</t>
  </si>
  <si>
    <t>Tytuł zobowiązania</t>
  </si>
  <si>
    <t>Zobowiązania finansowe</t>
  </si>
  <si>
    <t>powyżej 1 roku do 3 lat</t>
  </si>
  <si>
    <t>powyżej 3 do 5 lat</t>
  </si>
  <si>
    <t>powyżej 5 lat</t>
  </si>
  <si>
    <t>Pozostałe zobowiązania długoterminowe wobec jednostek powiązanych</t>
  </si>
  <si>
    <t>Pozostałe zobowiązania długotermnowe wobec pozostałych jednostek</t>
  </si>
  <si>
    <t xml:space="preserve">II.1.10. Kwota zobowiązań w sytuacji gdy jednostka kwalifikuje umowy leasingu zgodnie z przepisami podatkowymi (leasing operacyjny), a wg przepisów o rachunkowości byłby to leasing finansowy lub zwrotny </t>
  </si>
  <si>
    <t>Zobowiązania z tytułu leasingu finansowego</t>
  </si>
  <si>
    <t>Zobowiązania z tytułu leasingu zwrotnego</t>
  </si>
  <si>
    <t>II.1.11. Zobowiązania zabezpieczone na majątku jednostki</t>
  </si>
  <si>
    <t>Kwota</t>
  </si>
  <si>
    <t>w tym na aktywach</t>
  </si>
  <si>
    <t>zobowiązania</t>
  </si>
  <si>
    <t>zabezpieczenia</t>
  </si>
  <si>
    <t>trwałych</t>
  </si>
  <si>
    <t>obrotowych</t>
  </si>
  <si>
    <t>Stan na początek roku:</t>
  </si>
  <si>
    <t>Hipoteka</t>
  </si>
  <si>
    <t>Zastaw (w tym rejestrowy lub skarbowy)</t>
  </si>
  <si>
    <t>Weksel</t>
  </si>
  <si>
    <t>Inne, w tym:</t>
  </si>
  <si>
    <t>Stan na koniec roku:</t>
  </si>
  <si>
    <t>&gt;</t>
  </si>
  <si>
    <t>II.1.12.a. Pozabilansowe zabezpieczenia, w tym również udzielone przez jednostkę gwarancje i poręczenia, także wekslowe</t>
  </si>
  <si>
    <t>Tytuł</t>
  </si>
  <si>
    <t>Opis charakteru zobowiązania warunkowego, w tym czy zabezpieczone na majątku jednostki</t>
  </si>
  <si>
    <t>Zabezpieczenia w postaci weksli</t>
  </si>
  <si>
    <t>Poręczenia, w tym:</t>
  </si>
  <si>
    <t>- utworzone rezerwy bilansowe</t>
  </si>
  <si>
    <t>Gwarancje</t>
  </si>
  <si>
    <t>Kaucje i wadia</t>
  </si>
  <si>
    <t>Nieuznane roszczenia wierzycieli</t>
  </si>
  <si>
    <t>Z tytułu zawartej, lecz jeszcze niewykonanej umowy</t>
  </si>
  <si>
    <t>Umowy wsparcia</t>
  </si>
  <si>
    <t xml:space="preserve">II.1.12.b. Wykaz spraw spornych z tytułu zobowiązań warunkowych </t>
  </si>
  <si>
    <t>Tytuł zobowiązania warunkowego</t>
  </si>
  <si>
    <t>na odszkodowania z tytułu naruszenia zasady pierwszeństwa</t>
  </si>
  <si>
    <t>za grunty wydzielone pod drogi</t>
  </si>
  <si>
    <t>za wywłaszczenie nieruchomości</t>
  </si>
  <si>
    <r>
      <t>na odszkodowania za nieruchomości warszawskie</t>
    </r>
    <r>
      <rPr>
        <sz val="8"/>
        <color theme="1"/>
        <rFont val="Calibri"/>
        <family val="2"/>
        <charset val="238"/>
        <scheme val="minor"/>
      </rPr>
      <t xml:space="preserve"> (DEKRET BIERUTA z dnia 26 października 1945r.)</t>
    </r>
  </si>
  <si>
    <t xml:space="preserve">na odszkodowania związane z uchwaleniem planu miejscowego zagospodarowania </t>
  </si>
  <si>
    <t>za grunty zajęte pod drogi</t>
  </si>
  <si>
    <t>za grunty przejęte pod drogi w oparciu o tzw. Specustawę</t>
  </si>
  <si>
    <t>na odszkodowania z tytułu bezumownego korzystania z gruntu</t>
  </si>
  <si>
    <t>Inne sprawy sporne, w tym:</t>
  </si>
  <si>
    <t>pozostałe**</t>
  </si>
  <si>
    <t>RAZEM:</t>
  </si>
  <si>
    <t>II.1.13.a. Rozliczenia międzyokresowe czynne</t>
  </si>
  <si>
    <t>Rozliczenia międzyokresowe czynne</t>
  </si>
  <si>
    <t>Razem długoterminowe</t>
  </si>
  <si>
    <t>Czynne rozliczenia międzyokresowe kosztów stanowiące róznicę między wartością otrzymanych finansowych składników aktywów a zobowiązaniem zapłaty za nie</t>
  </si>
  <si>
    <t>Druki komunikacyjne i tablice rejestracyjne</t>
  </si>
  <si>
    <t>Koszty konserwacji i remontów</t>
  </si>
  <si>
    <t>Koszty mediów, dystrybucja energii (dot. oświetlenia ulic, sygnalizacji świetlnej,..)</t>
  </si>
  <si>
    <t>Licencje, opłaty serwisowe, wsparcie techniczne (programy komputerowe)</t>
  </si>
  <si>
    <t>Abonamenty</t>
  </si>
  <si>
    <t>Ubezpieczenia</t>
  </si>
  <si>
    <t>Prenumeraty</t>
  </si>
  <si>
    <t>Najem lokali</t>
  </si>
  <si>
    <t>Razem krótkoterminowe</t>
  </si>
  <si>
    <t>Prenumeraty, publikatory aktów prawnych</t>
  </si>
  <si>
    <t>Inne (zakup czasu antenowego, opłata za karty parkingowe, znaczki pocztowe, ubezp. wolontariatu, opłaty za wyk. badań fizykochem.,plakaty, zaproszenia, ogłoszenia, itp.)</t>
  </si>
  <si>
    <t>II.1.13.b. Rozliczenia międzyokresowe przychodów i rozliczenia międzyokresowe bierne</t>
  </si>
  <si>
    <t>Rozliczenia międzyokresowe</t>
  </si>
  <si>
    <t>Rozliczenia międzyokresowe przychodów, w tym:</t>
  </si>
  <si>
    <t>przychody za zajęcie pasa drogowego</t>
  </si>
  <si>
    <t>przychody z tyt. użytkowania wieczystego</t>
  </si>
  <si>
    <t>przychody z tyt. przekształcenia użytkowania wieczystego w prawo własności</t>
  </si>
  <si>
    <t>wykup lokali, budynków</t>
  </si>
  <si>
    <t>sprzedaż lokali mieszkaniowych, użytkowych,</t>
  </si>
  <si>
    <t>wpłaty z ZUS za pensjonariuszy</t>
  </si>
  <si>
    <t>pozostałe *</t>
  </si>
  <si>
    <t>Rozliczenia międzyokresowe kosztów bierne</t>
  </si>
  <si>
    <t>naprawy gwarancyjne</t>
  </si>
  <si>
    <t>usługi wykonane a niezafakturowane</t>
  </si>
  <si>
    <t>w tym: koszty mediów</t>
  </si>
  <si>
    <t>Rozliczenia międzyokresowe przychodów - pozostałe</t>
  </si>
  <si>
    <t>wynajem hali w 2019</t>
  </si>
  <si>
    <t>wpłaty zus za mieszkańców za 01/2019</t>
  </si>
  <si>
    <t>przychody z tyt. najmu i dzierżawy</t>
  </si>
  <si>
    <t>wpłaty za żywienie</t>
  </si>
  <si>
    <t xml:space="preserve">przychody z tytułu najmu </t>
  </si>
  <si>
    <t>Opłata za żywienie</t>
  </si>
  <si>
    <t>przychody z tytułu opłaty za wyżywienie dzieci za przyszłe okresy</t>
  </si>
  <si>
    <t>przychody z tytułu opłaty za wycieczki szkolne za przyszłe okresy</t>
  </si>
  <si>
    <t>należności z tyt. nienależnie pobranych świadczeń</t>
  </si>
  <si>
    <t>Nienależnie pobrane świadczenia rozłożone na raty na lata przyszłe</t>
  </si>
  <si>
    <t>Należności długoterminowe z tytułu nienależnie pobranych zasiłków stałych, okresowych i celowych</t>
  </si>
  <si>
    <t>Przychody lat przyszłych, zas. cel zwrotne do splaty w 2019 r.</t>
  </si>
  <si>
    <t>przychody z tyt.odpłatności za pobyt w schronisku</t>
  </si>
  <si>
    <t>świadczenia nienależnie pobrane</t>
  </si>
  <si>
    <t>Naliczenie kar umownych</t>
  </si>
  <si>
    <t>Rozliczenie przychodów w czasie</t>
  </si>
  <si>
    <t>wpłaty z tytułu przyszłych przychodów</t>
  </si>
  <si>
    <t>wieloletnie umowy dzierżawy</t>
  </si>
  <si>
    <t>Sprzedaż nieruchomości zabudowanej</t>
  </si>
  <si>
    <t>z tytułu wycinki drzew</t>
  </si>
  <si>
    <t>zwrot zwaloryzowanej kwoty odszk.</t>
  </si>
  <si>
    <t>Zniesienie współwłasności gruntu</t>
  </si>
  <si>
    <t>należności objęte hipoteką i zastawem</t>
  </si>
  <si>
    <t>dzierżawa</t>
  </si>
  <si>
    <t>Rozliczenia międzyokresowe kosztów bierne - pozostałe</t>
  </si>
  <si>
    <t>II.1.14. Łączna kwota otrzymanych przez jednostkę gwarancji i poręczeń niewykazanych w bilansie</t>
  </si>
  <si>
    <t>Rodzaj należności</t>
  </si>
  <si>
    <t>Otrzymane poręczenia i gwarancje</t>
  </si>
  <si>
    <t>II.1.15. Informacja o kwocie wypłaconych środków pieniężnych na świadczenia pracownicze</t>
  </si>
  <si>
    <t>Kwota wypłaty w roku poprzednim</t>
  </si>
  <si>
    <t>Kwota wypłaty w roku bieżącym</t>
  </si>
  <si>
    <t>Świadczenia pracownicze</t>
  </si>
  <si>
    <t>II.1.16.a. Inwestycje finansowe długoterminowe i krótkoterminowe - zmiany w ciągu roku obrotowego</t>
  </si>
  <si>
    <t>Aktywa finansowe</t>
  </si>
  <si>
    <t>Krótkoterminowe aktywa finansowa</t>
  </si>
  <si>
    <t>Środki trwałe będące w użytkowaniu przez Spółkę do czasu wniesienia ich aportem do Spółki</t>
  </si>
  <si>
    <t>Grunty stanowiące własność m.st. Warszawy oddane w wieczyste użytkowanie</t>
  </si>
  <si>
    <t>- przeszacowanie</t>
  </si>
  <si>
    <t>- nabycie</t>
  </si>
  <si>
    <t>- przeniesienie</t>
  </si>
  <si>
    <t>- wieczyste użytkowanie</t>
  </si>
  <si>
    <t>- odpisy z tytułu trwałej utraty wartości</t>
  </si>
  <si>
    <t>- sprzedaż</t>
  </si>
  <si>
    <t>- likwidacja</t>
  </si>
  <si>
    <t>- zwrot użytkowanego gruntu</t>
  </si>
  <si>
    <t>II.1.16.b. Należności krótkoterminowe netto</t>
  </si>
  <si>
    <t>Należności z tytułu dostaw i usług</t>
  </si>
  <si>
    <t>Należności od budżetów</t>
  </si>
  <si>
    <t>Należności z tytułu ubezpieczeń i innych świadczeń</t>
  </si>
  <si>
    <t>Pozostałe należności, w tym:</t>
  </si>
  <si>
    <t>należności dochodzone na drodze sądowej (wartość netto) (2-3)</t>
  </si>
  <si>
    <t>wartość brutto</t>
  </si>
  <si>
    <t>odpis aktualizujacy wartość należności dochodzonych na drodze sądowej</t>
  </si>
  <si>
    <t>z tytułu pożyczek mieszkaniowych</t>
  </si>
  <si>
    <t>dochody budżetowe</t>
  </si>
  <si>
    <t>wadia i kaucje</t>
  </si>
  <si>
    <t>inne</t>
  </si>
  <si>
    <t>Rozliczenia z tytułu środków na wydatki budżetowe i z tytułu dochodów budżetowych</t>
  </si>
  <si>
    <t>II.1.16.c. Informacje o odsetkach naliczonych od należności na dzień bilansowy</t>
  </si>
  <si>
    <t>Kategoria aktywów</t>
  </si>
  <si>
    <t>Przychody z odsetek wyliczone za pomocą stóp procentowych wynikających z zawartych kontraktów przypadające na okres objęty sprawozdaniem finansowym</t>
  </si>
  <si>
    <t>odsetki zrealizowane</t>
  </si>
  <si>
    <t>odsetki niezrealizowane, płatne</t>
  </si>
  <si>
    <t>do 3 mies.</t>
  </si>
  <si>
    <t>od 3 do 12 mies.</t>
  </si>
  <si>
    <t>powyżej 12 mies.</t>
  </si>
  <si>
    <t>Należności</t>
  </si>
  <si>
    <t>1.16.d. Informacje o niezrealizowanych odsetkach od należności objętych odpisem aktualizującym na koniec roku obrotowego</t>
  </si>
  <si>
    <t>Niezrealizowane odsetki od należności objęte odpisem aktualizującym na koniec roku obrotowego</t>
  </si>
  <si>
    <t>II.2.1. Odpisy aktualizuj±ce warto¶ć zapasów</t>
  </si>
  <si>
    <t>Odpisy aktualizuj±ce warto¶ć zapasów na dzień bilansowy wynosz±:</t>
  </si>
  <si>
    <t>II.2.2. Koszt wytworzenia środków trwałych w budowie poniesiony w okresie</t>
  </si>
  <si>
    <t>(środki trwałe wytworzone siłami własnymi)</t>
  </si>
  <si>
    <t>Rok poprzedni</t>
  </si>
  <si>
    <t>Rok obrotowy</t>
  </si>
  <si>
    <t>Środki trwałe oddane do użytkowania na dzień bilansowy</t>
  </si>
  <si>
    <t>Środki trwałe w budowie na dzień bilansowy</t>
  </si>
  <si>
    <t>skapitalizowane odsetki</t>
  </si>
  <si>
    <t>skapitalizowane różnice kursowe</t>
  </si>
  <si>
    <t>II.2.3. Przychody lub koszty o nadzwyczajnej wartości lub które wystąpiły incydentalnie</t>
  </si>
  <si>
    <t>Obroty roku poprzedniego</t>
  </si>
  <si>
    <t>Obroty roku bieżącego</t>
  </si>
  <si>
    <t>Przychody</t>
  </si>
  <si>
    <t>o nadzwyczajnej wartości</t>
  </si>
  <si>
    <t>które wystąpiły incydentalnie</t>
  </si>
  <si>
    <t>Koszty</t>
  </si>
  <si>
    <t>II.2.4. Informacja o kwocie należności z tytułu podatków realizowanych przez organy podatkowe podległe ministrowi własciwemu do spraw finansów publicznych wykazywanych w sprawozdaniu z wykonania planu dochodów budżetowych</t>
  </si>
  <si>
    <t>Jednostka</t>
  </si>
  <si>
    <t>Urząd Miasta</t>
  </si>
  <si>
    <t>Urząd Dzielnicy Bemowo</t>
  </si>
  <si>
    <t>Urząd Dzielnicy Białołęka</t>
  </si>
  <si>
    <t>Urząd Dzielnicy Bielany</t>
  </si>
  <si>
    <t>Urząd Dzielnicy Mokotów</t>
  </si>
  <si>
    <t>Urząd Dzielnicy Ochota</t>
  </si>
  <si>
    <t>Urząd Dzielnicy Praga Południe</t>
  </si>
  <si>
    <t>Urząd Dzielnicy Praga Północ</t>
  </si>
  <si>
    <t>Urząd Dzielnicy Rembertów</t>
  </si>
  <si>
    <t>Urząd Dzielnicy Śródmieście</t>
  </si>
  <si>
    <t>Urząd Dzielnicy Targówek</t>
  </si>
  <si>
    <t>Urząd Dzielnicy Ursus</t>
  </si>
  <si>
    <t>Urząd Dzielnicy Ursynów</t>
  </si>
  <si>
    <t>Urząd Dzielnicy Wawer</t>
  </si>
  <si>
    <t>Urząd Dzielnicy Wesoła</t>
  </si>
  <si>
    <t>Urząd Dzielnicy Wilanów</t>
  </si>
  <si>
    <t>Urząd Dzielnicy Włochy</t>
  </si>
  <si>
    <t>Urząd Dzielnicy Wola</t>
  </si>
  <si>
    <t>Urząd Dzielnicy Żoliborz</t>
  </si>
  <si>
    <t xml:space="preserve">II.2.5.a. Struktura przychodów </t>
  </si>
  <si>
    <t>Poz. w RZIS-A</t>
  </si>
  <si>
    <t>Struktura przychodów (RZiS)</t>
  </si>
  <si>
    <t>Obroty roku obrotowego</t>
  </si>
  <si>
    <t>I</t>
  </si>
  <si>
    <t>Przychody netto ze sprzedaży produktów, w tym:</t>
  </si>
  <si>
    <t>przychody z najmu i dzierżawy mienia związane z działalnością statutową</t>
  </si>
  <si>
    <t>opłaty za zarząd i użytkowanie wieczyste</t>
  </si>
  <si>
    <t>przychody z tyt. opłaty za bezumowne korzystanie z gruntu</t>
  </si>
  <si>
    <t>przychody z tyt. opłat za żywienie związane z działalnością statutową</t>
  </si>
  <si>
    <t>sprzedaż usług</t>
  </si>
  <si>
    <t>dotacje przedmiotowe i podmiotowe na pierwsze wyposażenie dla samorządowych zakładów budżetowych</t>
  </si>
  <si>
    <t>przychody z tytułu inwestycji liniowych</t>
  </si>
  <si>
    <t>inne (służebność gruntowa, rekompensata z tyt. utraty wartości nieruchomości, itd.)</t>
  </si>
  <si>
    <t>II</t>
  </si>
  <si>
    <t>Zmiana stanu produktów (zwiększenie-wartość dodatnia, zmniejszenie-wartość ujemna)</t>
  </si>
  <si>
    <t>III</t>
  </si>
  <si>
    <t>IV</t>
  </si>
  <si>
    <t>V</t>
  </si>
  <si>
    <t>Dotacje na finansowanie działaności podstawowej</t>
  </si>
  <si>
    <t>VI</t>
  </si>
  <si>
    <t>Podatki i opłaty lokalne, w tym:</t>
  </si>
  <si>
    <t>podatek od nieruchomości</t>
  </si>
  <si>
    <t>podatek od środków transportu</t>
  </si>
  <si>
    <t>podatek od czynności cywilno-prawnych</t>
  </si>
  <si>
    <t>podatek rolny, leśny</t>
  </si>
  <si>
    <t>opłata targowa</t>
  </si>
  <si>
    <t>opłata skarbowa</t>
  </si>
  <si>
    <t>Udziały w podatkach stanowiących dochód budżetu państwa, w tym:</t>
  </si>
  <si>
    <t>udział w podatku dochodowym od osób fizycznych</t>
  </si>
  <si>
    <t>udział w podatku dochodowym od osób prawnych</t>
  </si>
  <si>
    <t>Przychody z tytułu dotacji i subwencji, w tym:</t>
  </si>
  <si>
    <t>przychody z tytułu dotacji</t>
  </si>
  <si>
    <t>przychody z tytułu subwencji</t>
  </si>
  <si>
    <t>Pozostałe przychody, w tym:</t>
  </si>
  <si>
    <t>przychody związane z realizacją zadań z zakresu administracji rządowej</t>
  </si>
  <si>
    <t>przychody z tyt. odszkodowań</t>
  </si>
  <si>
    <t>przychody z tyt. opłat za pobyt (DPS,DDz,żłobki, przedszkola?)</t>
  </si>
  <si>
    <t>przychody z tyt. opłat za strefę płatnego parkowania</t>
  </si>
  <si>
    <t>przychody z tyt. mandatów</t>
  </si>
  <si>
    <t>przyody z tyt. opłat i kar za usuwanie drzew i krzewów</t>
  </si>
  <si>
    <t>przychody z tytułu porozumień między gminami</t>
  </si>
  <si>
    <t>przychody z tytułu zezwoleń na sprzedaż alkoholu</t>
  </si>
  <si>
    <t>przychody z tyt. opłat komunikacyjnych</t>
  </si>
  <si>
    <t>przychody z tyt. zajęcia pasa drogowego</t>
  </si>
  <si>
    <t>przychody z tytułu zwrotu kosztów dotacji oświatowej</t>
  </si>
  <si>
    <t>przychody z tytułu usług geodezyjno-kartograficznych</t>
  </si>
  <si>
    <t>opłaty za odpady komunalne</t>
  </si>
  <si>
    <t>inne ( z tyt. wydania legitymacji,zaświadczeń, z tyt. egzaminów, z tyt. licencji przewozowych)</t>
  </si>
  <si>
    <t xml:space="preserve">II.2.5.b. Struktura kosztów usług obcych </t>
  </si>
  <si>
    <t>Zakup usług remontowych - § 427</t>
  </si>
  <si>
    <t>Zakup usług zdrowotnych - § 428</t>
  </si>
  <si>
    <t>Zakup usług pozostałych § 430</t>
  </si>
  <si>
    <t>Zakup usług przez jednostki s. terytorialnego od innych jednostek s.terytorialnego - § 433</t>
  </si>
  <si>
    <t>Zakup usług remonotow-konserwatorskich dotyczących obiektów zabytkowych będących w użytkowanuiu jednostek budżetowych § 434</t>
  </si>
  <si>
    <t>Opłaty z tytułu zakupu usług telekomunikacyjnych  - § 436</t>
  </si>
  <si>
    <t>Zakup usług obejmujących tłumaczenia § 438</t>
  </si>
  <si>
    <t>Zakup usług obejmujących wykonanie ekspertyz, analiz i opinii § 439</t>
  </si>
  <si>
    <t>Opłaty za administrowanie i czynsze za budynki, lokale i pomieszczenia garażowe - § 440</t>
  </si>
  <si>
    <t>II.2.5.c. Pozostałe przychody operacyjne /b&gt;</t>
  </si>
  <si>
    <t>Poz.D-RZIS</t>
  </si>
  <si>
    <t>Zysk ze zbycia niefinansowch aktywów trwałych, w tym:</t>
  </si>
  <si>
    <t>sprzedaż lokali i nieruchomości</t>
  </si>
  <si>
    <t>sprzedaż pozostałych składników majątkowych</t>
  </si>
  <si>
    <t>opłaty z tyt. przekształcenia wieczystego gruntów w prawo własności</t>
  </si>
  <si>
    <t>Inne przychody operacyjne, w tym:</t>
  </si>
  <si>
    <t>opłaty za dzierżawę, najem nie związane z działalnością statutową</t>
  </si>
  <si>
    <t>opłaty za wyżywienie nie związane z działalnością statutową</t>
  </si>
  <si>
    <t>kary umowne, odszkodowania</t>
  </si>
  <si>
    <t>odpisane przedawnione, nieściągnięte lub umorzone zobowiązania</t>
  </si>
  <si>
    <t>darowizny, nieodpłatnie otrzymane rzeczowe aktywa obrotowe</t>
  </si>
  <si>
    <t>rozwiązanie odpisu aktualizującego wartość należności</t>
  </si>
  <si>
    <t>rozwiązanie rezerw na zobowiązania</t>
  </si>
  <si>
    <t>rozwiązanie odpisów aktualizujących śr. trwałych, śr. trwałych w budowie oraz wartości niematerialnych i prawnych</t>
  </si>
  <si>
    <t>równowartość odpisów amortyzacyjnych od śr. trwałych oraz wartości niematerialnych i prawnych otrzymanych nieodpłatnie przez samorządowy zakład budżetowy, a także od środków trwałych oraz wartości niematerialnych i prawnych, na sfinansowanie których samorządowy zakład budżetowy otrzymał śr. pieniężne</t>
  </si>
  <si>
    <t>inne (zwroty kosztów sądowych, komorniczych lub zastępstwa procesowego, wynagrodzenie dla płatnika za terminową zapłatę, opłaty za ksero, przychody z tyt. zaokrąglenia podatków m. in. podatku VAT,zwroty VAT z lat. ub., zwroty kosztów upomnienia, nadwyżki inwentar., sprzedaż złomu, makulatury, sprzedaż materiałów przetargowych, opłata za wyrejestrowanie pojazdu itp.)</t>
  </si>
  <si>
    <t>II.2.5.d. Pozostałe koszty operacyjne</t>
  </si>
  <si>
    <t>Koszty inwestycji finansowych ze środków własnych samorządowych zakładów budżetowych i dochodów jednostek budżetowych gromadzonych na wydzielonym rachunku (§ 607, § 608)</t>
  </si>
  <si>
    <t>Pozostałe koszty operacyjne, w tym:</t>
  </si>
  <si>
    <t>Odpisy należności  przedawnionych, umorzonych, nieściągalnych</t>
  </si>
  <si>
    <t>Aktualizacja wartości aktywów niefinansowych, w tym:</t>
  </si>
  <si>
    <t>utworzenie odpisów aktual. śr. trwałych, śr. trwałych w budowie oraz wartości niematerialnych i prawnych</t>
  </si>
  <si>
    <t>odpis aktualizujący wartość nieruchomości inwestycyjnych</t>
  </si>
  <si>
    <t>odpis aktualizujacy wartość należności</t>
  </si>
  <si>
    <t>umorzenie zaleglości podatkowych w ramach pomocy publicznej</t>
  </si>
  <si>
    <t>Inne koszty operacyjne, w tym:</t>
  </si>
  <si>
    <t> z tyt. zaokrąglenia podatków ( w szczególności VAT)</t>
  </si>
  <si>
    <t> utworzonych rezerw na zobowiązania</t>
  </si>
  <si>
    <t>zapłacone odszkodowania, kary i grzywny</t>
  </si>
  <si>
    <t>nieodpłatnie przekazane rzeczowe aktywa obrotowe</t>
  </si>
  <si>
    <t>inne koszty operacyjne (koszty postępowania sądowego, egzekucyjnego lub komorniczego, opłaty notarialne, skarbowe, niedobory inwentaryzacyjne uznane za niezawinione, odszkodowania w spawach o roszczenia ze stosunku pracy, zwrot dotacji z lat ubiegłych, itp..)</t>
  </si>
  <si>
    <t>II.2.5.e. Przychody finansowe</t>
  </si>
  <si>
    <t>dywidendy</t>
  </si>
  <si>
    <t>zysk na sprzedaży udziałów i akcji</t>
  </si>
  <si>
    <t>Odsetki, w tym:</t>
  </si>
  <si>
    <t>odsetki za zwłokę w zapłacie należności, odsetki od rat kapitałowych i załegłości w spłacie należności z tyt. wykupu lokali użytkowych, odsetki ustawowe z wyroków sądowych, odsetki od należności podatkowych itp.</t>
  </si>
  <si>
    <t>odsetki bankowe od środków na rachunku bankowym, odsetki od lokat,</t>
  </si>
  <si>
    <t>dodatnie różnice kursowe</t>
  </si>
  <si>
    <t>rozwiązanie odpisów aktualizujących odsetki od należności</t>
  </si>
  <si>
    <t>rozwiązanie lub zmniejszenie odpisów aktualizujących wartość długoterminowych aktywów finansowych</t>
  </si>
  <si>
    <t>umorzone zobowiązania z tytułu kredytów i pożyczek,</t>
  </si>
  <si>
    <t>pozostałe przychody finansowe *</t>
  </si>
  <si>
    <t>rozwiązanie niewykorzystanych rezerw na odsetki z tyt. spraw sądowych lub odsetek z tyt.zobowiązań</t>
  </si>
  <si>
    <t>Pozostałe przychody finansowe</t>
  </si>
  <si>
    <t>zniesienie odpisu aktualizujacego wartość należności w związku z jego błędnym naliczeniem w latach ubiegłych</t>
  </si>
  <si>
    <t>rozwiązanie odpisu aktualizującego odsetki od należności</t>
  </si>
  <si>
    <t>umorzenie odsetek od należności</t>
  </si>
  <si>
    <t>z tytułu narzutu ( kosztu przygotowania posiłków)</t>
  </si>
  <si>
    <t>wykorzystanie odpisów aktualizujących odsetki od należności</t>
  </si>
  <si>
    <t>Utrata wadium przez Oferenta</t>
  </si>
  <si>
    <t>rozwiązanie rezerw odsetek od spraw w sądzie</t>
  </si>
  <si>
    <t>vat od refaktur</t>
  </si>
  <si>
    <t>Przychody z tytułu poręczeń bankowych</t>
  </si>
  <si>
    <t>Rozwiązanie rezerwy na poręczenia</t>
  </si>
  <si>
    <t>rozwiązane rezerwy na zobowiązania z tyt. pozwów wniesionych przeciwko ZGNi</t>
  </si>
  <si>
    <t>Opłata prolongacyjna</t>
  </si>
  <si>
    <t xml:space="preserve">2.5.f. Koszty finansowe </t>
  </si>
  <si>
    <t>odsetki od kredytów i pożyczek</t>
  </si>
  <si>
    <t>odsetki od zobowiązań</t>
  </si>
  <si>
    <t>korekty podatków</t>
  </si>
  <si>
    <t>korekty błędnych naliczeń odpłatności</t>
  </si>
  <si>
    <t>ujemne różnice kursowe</t>
  </si>
  <si>
    <t>utworzenie odpisu aktualizującego wartość długoterminowych aktywów finansowych</t>
  </si>
  <si>
    <t>utworzenie odpisu aktualizującego wartość odsetek od należności</t>
  </si>
  <si>
    <t>utworzenie rezer na sprawy sądowe z tyt. odsetek</t>
  </si>
  <si>
    <t>umorzenie odsetek</t>
  </si>
  <si>
    <t>Pozostałe</t>
  </si>
  <si>
    <t>z tytułu opóźnienia wypłaty dodatków stażowych</t>
  </si>
  <si>
    <t>Zasądzone odsetki od wynagrodzenia byłego pracownika OSiR</t>
  </si>
  <si>
    <t>odpisanie odsetek naliczonych w roku 2017 od kary umownej oddalonych przez Sąd Okręgowy wyrokiem z dnia 16 stycznia 2017r</t>
  </si>
  <si>
    <t>odpisy odsetek od naleznosci niezasadzonych, przedawnionych</t>
  </si>
  <si>
    <t>zwrot zwaloryzowanej kaucji</t>
  </si>
  <si>
    <t>koszty finansowe zgodnie z wyrokiem Sądu Apelacyjnego w Warszawie VII Wydział Gospodarczy z dnia 28.06.2018 sygn.akt.Aga 394/18</t>
  </si>
  <si>
    <t>odpis odsetek naliczonych od należności w 2017r</t>
  </si>
  <si>
    <t>odsetki od zobowiązania z tytułu korekty VAT</t>
  </si>
  <si>
    <t xml:space="preserve">zasądzone odszkodowanie </t>
  </si>
  <si>
    <t>Poręczenia</t>
  </si>
  <si>
    <t>Pozostałe koszty - papiery wartościowe</t>
  </si>
  <si>
    <t>pożyczki PFRON</t>
  </si>
  <si>
    <t>umorzenie na które nie były tworzone odpisy aktualizujące</t>
  </si>
  <si>
    <t>zasądzone odsetki</t>
  </si>
  <si>
    <t>odpracowanie długu przez najemcę</t>
  </si>
  <si>
    <t>Odpis.nal. nieściagalnych zg. z wyrokiem</t>
  </si>
  <si>
    <t>Umorzenie z urzedu</t>
  </si>
  <si>
    <t>Odpisy zg. z pełnomocnictwem</t>
  </si>
  <si>
    <t>Drobne różnice, groszowe odsetki, prow. od przelewu zagranicznego</t>
  </si>
  <si>
    <t>Odsetki od wyroków sądowych</t>
  </si>
  <si>
    <t>II.2.5.g. Istotne transakcje z podmiotami powiązanymi</t>
  </si>
  <si>
    <t>Nazwa jednostki</t>
  </si>
  <si>
    <t>Zobowiązania</t>
  </si>
  <si>
    <t>Spółki, w których Miasto posiada 100% udziałów akcji, w tym:</t>
  </si>
  <si>
    <t>-</t>
  </si>
  <si>
    <t>Centrum Medyczne ?Żelazna? Sp. z o.o</t>
  </si>
  <si>
    <t>SEDECO Sp. z. o.o.</t>
  </si>
  <si>
    <t>Stołeczne Centrum Opiekuńczo-Lecznicze Sp. z o.o</t>
  </si>
  <si>
    <t>Stołeczne Przedsiębiorstwo Usług Plastycznych i wystaw Artystycznych WAREXPO SPÓŁKA z O.O.</t>
  </si>
  <si>
    <t>Szpital Grochowski im. dr med. Rafała Masztaka Sp. z o.o</t>
  </si>
  <si>
    <t>Szpital Praski p.w. Przemienienia Pańskiego Sp. z o.o</t>
  </si>
  <si>
    <t>Szpital SOLEC Sp. z o.o</t>
  </si>
  <si>
    <t>Zakłady Opieki Zdrowotnej</t>
  </si>
  <si>
    <t>Instytucje Kultury</t>
  </si>
  <si>
    <t>II.3.1. Informacja o stanie zatrudnienia (osoby)</t>
  </si>
  <si>
    <t>Stan zatrudnienia na koniec roku poprzedniego (osoby)</t>
  </si>
  <si>
    <t>Stan zatrudnienia na koniec roku obrotowego (osoby)</t>
  </si>
  <si>
    <t>Pracownicy ogółem</t>
  </si>
  <si>
    <r>
      <t xml:space="preserve">Nazwa i adres jednostki sprawozdawczej 
</t>
    </r>
    <r>
      <rPr>
        <b/>
        <sz val="11"/>
        <color theme="1"/>
        <rFont val="Times New Roman"/>
        <family val="1"/>
        <charset val="238"/>
      </rPr>
      <t>Urząd Miasta st. Warszawa 
Pl. Bankowy 3/5
00-950 Warszawa</t>
    </r>
  </si>
  <si>
    <r>
      <t>sporządzony na dzień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theme="1"/>
        <rFont val="Times New Roman"/>
        <family val="1"/>
        <charset val="238"/>
      </rPr>
      <t>31.12.2018 r.</t>
    </r>
  </si>
  <si>
    <r>
      <t>REGON</t>
    </r>
    <r>
      <rPr>
        <b/>
        <sz val="11"/>
        <color theme="1"/>
        <rFont val="Times New Roman"/>
        <family val="1"/>
        <charset val="238"/>
      </rPr>
      <t xml:space="preserve"> 15259640</t>
    </r>
  </si>
  <si>
    <r>
      <t xml:space="preserve">Nazwa i adres jednostki sprawozdawczej  
</t>
    </r>
    <r>
      <rPr>
        <b/>
        <sz val="11"/>
        <color theme="1"/>
        <rFont val="Times New Roman"/>
        <family val="1"/>
        <charset val="238"/>
      </rPr>
      <t>Urząd Miasta st. Warszawa 
Pl. Bankowy 3/5
00-950 Warszawa</t>
    </r>
  </si>
  <si>
    <t>.......................................</t>
  </si>
  <si>
    <r>
      <t xml:space="preserve">
Adresat:
</t>
    </r>
    <r>
      <rPr>
        <b/>
        <sz val="11"/>
        <color theme="1"/>
        <rFont val="Times New Roman"/>
        <family val="1"/>
        <charset val="238"/>
      </rPr>
      <t>m.st. Warszawa</t>
    </r>
    <r>
      <rPr>
        <sz val="11"/>
        <color theme="1"/>
        <rFont val="Times New Roman"/>
        <family val="1"/>
        <charset val="238"/>
      </rPr>
      <t xml:space="preserve">
</t>
    </r>
  </si>
  <si>
    <r>
      <t xml:space="preserve">Adresat:
</t>
    </r>
    <r>
      <rPr>
        <b/>
        <sz val="11"/>
        <color theme="1"/>
        <rFont val="Times New Roman"/>
        <family val="1"/>
        <charset val="238"/>
      </rPr>
      <t>m.st. Warszawa</t>
    </r>
  </si>
  <si>
    <r>
      <t xml:space="preserve">Adresat:
</t>
    </r>
    <r>
      <rPr>
        <b/>
        <sz val="11"/>
        <color theme="1"/>
        <rFont val="Times New Roman"/>
        <family val="1"/>
        <charset val="238"/>
      </rPr>
      <t xml:space="preserve">m.st. Warszawa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</si>
</sst>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yyyy\-mm\-dd;@"/>
  </numFmts>
  <fonts count="35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theme="1"/>
      <name val="Verdana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zcionka tekstu podstawowego"/>
      <charset val="238"/>
    </font>
    <font>
      <b/>
      <sz val="10"/>
      <color theme="1"/>
      <name val="Czcionka tekstu podstawowego"/>
      <charset val="238"/>
    </font>
    <font>
      <b/>
      <sz val="8"/>
      <color theme="1"/>
      <name val="Verdana"/>
      <family val="2"/>
      <charset val="238"/>
    </font>
    <font>
      <sz val="8"/>
      <color theme="1"/>
      <name val="Verdana"/>
      <family val="2"/>
      <charset val="238"/>
    </font>
    <font>
      <b/>
      <sz val="10"/>
      <color theme="1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sz val="10"/>
      <color theme="1"/>
      <name val="Czcionka tekstu podstawowego"/>
      <family val="2"/>
      <charset val="238"/>
    </font>
    <font>
      <sz val="10"/>
      <color theme="1"/>
      <name val="Czcionka tekstu podstawowego"/>
      <charset val="238"/>
    </font>
    <font>
      <b/>
      <sz val="9"/>
      <color theme="1"/>
      <name val="Czcionka tekstu podstawowego"/>
      <family val="2"/>
      <charset val="238"/>
    </font>
    <font>
      <sz val="9"/>
      <color theme="1"/>
      <name val="Czcionka tekstu podstawowego"/>
      <charset val="238"/>
    </font>
    <font>
      <b/>
      <sz val="8"/>
      <name val="Verdana"/>
      <family val="2"/>
      <charset val="238"/>
    </font>
    <font>
      <b/>
      <sz val="11"/>
      <name val="Times New Roman"/>
      <family val="1"/>
      <charset val="238"/>
    </font>
    <font>
      <sz val="9"/>
      <color theme="1"/>
      <name val="Verdana"/>
      <family val="2"/>
      <charset val="238"/>
    </font>
    <font>
      <b/>
      <sz val="9"/>
      <color theme="1"/>
      <name val="Verdana"/>
      <family val="2"/>
      <charset val="238"/>
    </font>
    <font>
      <b/>
      <sz val="11"/>
      <color theme="1"/>
      <name val="Verdana"/>
      <family val="2"/>
      <charset val="238"/>
    </font>
    <font>
      <sz val="10"/>
      <color theme="1"/>
      <name val="Arial"/>
      <family val="2"/>
      <charset val="238"/>
    </font>
    <font>
      <b/>
      <i/>
      <sz val="8"/>
      <color theme="1"/>
      <name val="Verdana"/>
      <family val="2"/>
      <charset val="238"/>
    </font>
    <font>
      <b/>
      <u/>
      <sz val="8"/>
      <color theme="1"/>
      <name val="Verdana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9"/>
      <name val="Verdana"/>
      <family val="2"/>
      <charset val="238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11"/>
      <color theme="0"/>
      <name val="Times New Roman"/>
      <family val="1"/>
      <charset val="238"/>
    </font>
    <font>
      <sz val="11"/>
      <name val="Times New Roman"/>
      <family val="1"/>
      <charset val="238"/>
    </font>
    <font>
      <sz val="10"/>
      <color indexed="8"/>
      <name val="Arial"/>
      <family val="2"/>
    </font>
    <font>
      <sz val="10"/>
      <name val="Arial CE"/>
      <charset val="238"/>
    </font>
    <font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</borders>
  <cellStyleXfs count="4">
    <xf numFmtId="0" fontId="0" fillId="0" borderId="0"/>
    <xf numFmtId="0" fontId="32" fillId="0" borderId="0"/>
    <xf numFmtId="0" fontId="33" fillId="0" borderId="0"/>
    <xf numFmtId="0" fontId="34" fillId="0" borderId="0"/>
  </cellStyleXfs>
  <cellXfs count="352">
    <xf numFmtId="0" fontId="0" fillId="0" borderId="0" xfId="0"/>
    <xf numFmtId="0" fontId="1" fillId="2" borderId="9" xfId="0" applyFont="1" applyFill="1" applyBorder="1" applyAlignment="1">
      <alignment wrapText="1"/>
    </xf>
    <xf numFmtId="0" fontId="2" fillId="2" borderId="9" xfId="0" applyFont="1" applyFill="1" applyBorder="1" applyAlignment="1">
      <alignment wrapText="1"/>
    </xf>
    <xf numFmtId="14" fontId="2" fillId="0" borderId="0" xfId="0" applyNumberFormat="1" applyFont="1"/>
    <xf numFmtId="0" fontId="5" fillId="0" borderId="0" xfId="0" applyFont="1"/>
    <xf numFmtId="14" fontId="6" fillId="0" borderId="0" xfId="0" applyNumberFormat="1" applyFont="1"/>
    <xf numFmtId="0" fontId="7" fillId="3" borderId="9" xfId="0" applyFont="1" applyFill="1" applyBorder="1" applyAlignment="1">
      <alignment horizontal="center" vertical="center" wrapText="1"/>
    </xf>
    <xf numFmtId="0" fontId="8" fillId="0" borderId="0" xfId="0" applyFont="1"/>
    <xf numFmtId="0" fontId="7" fillId="3" borderId="9" xfId="0" applyFont="1" applyFill="1" applyBorder="1" applyAlignment="1">
      <alignment horizontal="center" wrapText="1"/>
    </xf>
    <xf numFmtId="0" fontId="7" fillId="3" borderId="9" xfId="0" applyFont="1" applyFill="1" applyBorder="1" applyAlignment="1">
      <alignment wrapText="1"/>
    </xf>
    <xf numFmtId="4" fontId="7" fillId="0" borderId="9" xfId="0" applyNumberFormat="1" applyFont="1" applyBorder="1" applyAlignment="1">
      <alignment horizontal="right"/>
    </xf>
    <xf numFmtId="0" fontId="7" fillId="0" borderId="0" xfId="0" applyFont="1"/>
    <xf numFmtId="0" fontId="8" fillId="3" borderId="9" xfId="0" applyFont="1" applyFill="1" applyBorder="1" applyAlignment="1">
      <alignment horizontal="center" wrapText="1"/>
    </xf>
    <xf numFmtId="0" fontId="8" fillId="3" borderId="9" xfId="0" applyFont="1" applyFill="1" applyBorder="1" applyAlignment="1">
      <alignment wrapText="1"/>
    </xf>
    <xf numFmtId="4" fontId="8" fillId="0" borderId="9" xfId="0" applyNumberFormat="1" applyFont="1" applyBorder="1" applyAlignment="1">
      <alignment horizontal="right"/>
    </xf>
    <xf numFmtId="4" fontId="8" fillId="0" borderId="9" xfId="0" applyNumberFormat="1" applyFont="1" applyFill="1" applyBorder="1" applyAlignment="1">
      <alignment horizontal="right"/>
    </xf>
    <xf numFmtId="4" fontId="7" fillId="3" borderId="9" xfId="0" applyNumberFormat="1" applyFont="1" applyFill="1" applyBorder="1" applyAlignment="1">
      <alignment horizontal="right"/>
    </xf>
    <xf numFmtId="14" fontId="0" fillId="0" borderId="0" xfId="0" applyNumberFormat="1"/>
    <xf numFmtId="4" fontId="0" fillId="0" borderId="0" xfId="0" applyNumberFormat="1"/>
    <xf numFmtId="0" fontId="0" fillId="0" borderId="0" xfId="0" applyAlignment="1">
      <alignment horizontal="center"/>
    </xf>
    <xf numFmtId="0" fontId="1" fillId="3" borderId="9" xfId="0" applyFont="1" applyFill="1" applyBorder="1" applyAlignment="1">
      <alignment wrapText="1"/>
    </xf>
    <xf numFmtId="4" fontId="9" fillId="0" borderId="0" xfId="0" applyNumberFormat="1" applyFont="1"/>
    <xf numFmtId="0" fontId="10" fillId="0" borderId="0" xfId="0" applyFont="1"/>
    <xf numFmtId="0" fontId="2" fillId="3" borderId="9" xfId="0" applyFont="1" applyFill="1" applyBorder="1" applyAlignment="1">
      <alignment wrapText="1"/>
    </xf>
    <xf numFmtId="4" fontId="11" fillId="0" borderId="0" xfId="0" applyNumberFormat="1" applyFont="1"/>
    <xf numFmtId="0" fontId="10" fillId="3" borderId="0" xfId="0" applyFont="1" applyFill="1"/>
    <xf numFmtId="0" fontId="1" fillId="2" borderId="0" xfId="0" applyFont="1" applyFill="1" applyBorder="1" applyAlignment="1">
      <alignment wrapText="1"/>
    </xf>
    <xf numFmtId="0" fontId="11" fillId="0" borderId="0" xfId="0" applyFont="1"/>
    <xf numFmtId="4" fontId="12" fillId="0" borderId="0" xfId="0" applyNumberFormat="1" applyFont="1"/>
    <xf numFmtId="0" fontId="7" fillId="0" borderId="9" xfId="0" applyFont="1" applyBorder="1" applyAlignment="1">
      <alignment horizontal="right"/>
    </xf>
    <xf numFmtId="0" fontId="8" fillId="0" borderId="9" xfId="0" applyFont="1" applyBorder="1" applyAlignment="1">
      <alignment horizontal="right"/>
    </xf>
    <xf numFmtId="4" fontId="13" fillId="0" borderId="0" xfId="0" applyNumberFormat="1" applyFont="1"/>
    <xf numFmtId="4" fontId="7" fillId="0" borderId="11" xfId="0" applyNumberFormat="1" applyFont="1" applyFill="1" applyBorder="1" applyAlignment="1">
      <alignment horizontal="right"/>
    </xf>
    <xf numFmtId="0" fontId="11" fillId="0" borderId="0" xfId="0" applyFont="1" applyFill="1" applyBorder="1"/>
    <xf numFmtId="4" fontId="14" fillId="0" borderId="0" xfId="0" applyNumberFormat="1" applyFont="1"/>
    <xf numFmtId="4" fontId="8" fillId="0" borderId="0" xfId="0" applyNumberFormat="1" applyFont="1"/>
    <xf numFmtId="0" fontId="8" fillId="0" borderId="0" xfId="0" applyFont="1" applyFill="1"/>
    <xf numFmtId="4" fontId="7" fillId="0" borderId="0" xfId="0" applyNumberFormat="1" applyFont="1"/>
    <xf numFmtId="0" fontId="15" fillId="3" borderId="9" xfId="0" applyFont="1" applyFill="1" applyBorder="1" applyAlignment="1">
      <alignment horizontal="center" wrapText="1"/>
    </xf>
    <xf numFmtId="0" fontId="16" fillId="2" borderId="9" xfId="0" applyFont="1" applyFill="1" applyBorder="1" applyAlignment="1">
      <alignment wrapText="1"/>
    </xf>
    <xf numFmtId="4" fontId="15" fillId="0" borderId="9" xfId="0" applyNumberFormat="1" applyFont="1" applyBorder="1" applyAlignment="1">
      <alignment horizontal="right"/>
    </xf>
    <xf numFmtId="0" fontId="15" fillId="0" borderId="0" xfId="0" applyFont="1"/>
    <xf numFmtId="4" fontId="8" fillId="4" borderId="9" xfId="0" applyNumberFormat="1" applyFont="1" applyFill="1" applyBorder="1" applyAlignment="1">
      <alignment horizontal="right"/>
    </xf>
    <xf numFmtId="0" fontId="3" fillId="0" borderId="0" xfId="0" applyFont="1" applyAlignment="1">
      <alignment horizont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wrapText="1"/>
    </xf>
    <xf numFmtId="0" fontId="8" fillId="0" borderId="9" xfId="0" applyFont="1" applyBorder="1" applyAlignment="1">
      <alignment wrapText="1"/>
    </xf>
    <xf numFmtId="0" fontId="20" fillId="0" borderId="9" xfId="0" applyFont="1" applyBorder="1" applyAlignment="1">
      <alignment wrapText="1"/>
    </xf>
    <xf numFmtId="0" fontId="7" fillId="0" borderId="9" xfId="0" applyFont="1" applyBorder="1" applyAlignment="1">
      <alignment horizontal="right" wrapText="1"/>
    </xf>
    <xf numFmtId="0" fontId="7" fillId="0" borderId="9" xfId="0" applyFont="1" applyBorder="1" applyAlignment="1">
      <alignment horizontal="center" wrapText="1"/>
    </xf>
    <xf numFmtId="0" fontId="7" fillId="0" borderId="9" xfId="0" applyFont="1" applyBorder="1" applyAlignment="1">
      <alignment wrapText="1"/>
    </xf>
    <xf numFmtId="0" fontId="8" fillId="0" borderId="9" xfId="0" applyFont="1" applyBorder="1" applyAlignment="1">
      <alignment horizontal="right" wrapText="1"/>
    </xf>
    <xf numFmtId="0" fontId="7" fillId="3" borderId="9" xfId="0" applyFont="1" applyFill="1" applyBorder="1" applyAlignment="1">
      <alignment horizontal="right" wrapText="1"/>
    </xf>
    <xf numFmtId="0" fontId="7" fillId="5" borderId="15" xfId="0" applyFont="1" applyFill="1" applyBorder="1" applyAlignment="1">
      <alignment horizontal="center" wrapText="1"/>
    </xf>
    <xf numFmtId="0" fontId="7" fillId="5" borderId="19" xfId="0" applyFont="1" applyFill="1" applyBorder="1" applyAlignment="1">
      <alignment horizontal="center" wrapText="1"/>
    </xf>
    <xf numFmtId="0" fontId="7" fillId="5" borderId="20" xfId="0" applyFont="1" applyFill="1" applyBorder="1" applyAlignment="1">
      <alignment horizontal="center" wrapText="1"/>
    </xf>
    <xf numFmtId="0" fontId="21" fillId="5" borderId="2" xfId="0" applyFont="1" applyFill="1" applyBorder="1" applyAlignment="1">
      <alignment horizontal="center" wrapText="1"/>
    </xf>
    <xf numFmtId="0" fontId="21" fillId="5" borderId="5" xfId="0" applyFont="1" applyFill="1" applyBorder="1" applyAlignment="1">
      <alignment horizontal="center" wrapText="1"/>
    </xf>
    <xf numFmtId="0" fontId="7" fillId="5" borderId="27" xfId="0" applyFont="1" applyFill="1" applyBorder="1"/>
    <xf numFmtId="4" fontId="7" fillId="5" borderId="9" xfId="0" applyNumberFormat="1" applyFont="1" applyFill="1" applyBorder="1" applyAlignment="1">
      <alignment horizontal="right"/>
    </xf>
    <xf numFmtId="0" fontId="7" fillId="5" borderId="9" xfId="0" applyFont="1" applyFill="1" applyBorder="1" applyAlignment="1">
      <alignment horizontal="right"/>
    </xf>
    <xf numFmtId="4" fontId="7" fillId="5" borderId="28" xfId="0" applyNumberFormat="1" applyFont="1" applyFill="1" applyBorder="1" applyAlignment="1">
      <alignment horizontal="right"/>
    </xf>
    <xf numFmtId="0" fontId="7" fillId="0" borderId="27" xfId="0" applyFont="1" applyBorder="1"/>
    <xf numFmtId="4" fontId="7" fillId="0" borderId="28" xfId="0" applyNumberFormat="1" applyFont="1" applyBorder="1" applyAlignment="1">
      <alignment horizontal="right"/>
    </xf>
    <xf numFmtId="0" fontId="23" fillId="0" borderId="27" xfId="0" applyFont="1" applyBorder="1"/>
    <xf numFmtId="4" fontId="23" fillId="0" borderId="9" xfId="0" applyNumberFormat="1" applyFont="1" applyBorder="1" applyAlignment="1">
      <alignment horizontal="right"/>
    </xf>
    <xf numFmtId="4" fontId="23" fillId="0" borderId="28" xfId="0" applyNumberFormat="1" applyFont="1" applyBorder="1" applyAlignment="1">
      <alignment horizontal="right"/>
    </xf>
    <xf numFmtId="0" fontId="23" fillId="0" borderId="9" xfId="0" applyFont="1" applyBorder="1" applyAlignment="1">
      <alignment horizontal="right"/>
    </xf>
    <xf numFmtId="0" fontId="7" fillId="6" borderId="27" xfId="0" applyFont="1" applyFill="1" applyBorder="1" applyAlignment="1">
      <alignment wrapText="1"/>
    </xf>
    <xf numFmtId="4" fontId="7" fillId="6" borderId="9" xfId="0" applyNumberFormat="1" applyFont="1" applyFill="1" applyBorder="1" applyAlignment="1">
      <alignment wrapText="1"/>
    </xf>
    <xf numFmtId="4" fontId="7" fillId="6" borderId="28" xfId="0" applyNumberFormat="1" applyFont="1" applyFill="1" applyBorder="1" applyAlignment="1">
      <alignment wrapText="1"/>
    </xf>
    <xf numFmtId="0" fontId="7" fillId="6" borderId="29" xfId="0" applyFont="1" applyFill="1" applyBorder="1" applyAlignment="1">
      <alignment wrapText="1"/>
    </xf>
    <xf numFmtId="4" fontId="7" fillId="6" borderId="30" xfId="0" applyNumberFormat="1" applyFont="1" applyFill="1" applyBorder="1" applyAlignment="1">
      <alignment wrapText="1"/>
    </xf>
    <xf numFmtId="4" fontId="7" fillId="6" borderId="31" xfId="0" applyNumberFormat="1" applyFont="1" applyFill="1" applyBorder="1" applyAlignment="1">
      <alignment wrapText="1"/>
    </xf>
    <xf numFmtId="14" fontId="24" fillId="0" borderId="0" xfId="0" applyNumberFormat="1" applyFont="1"/>
    <xf numFmtId="0" fontId="7" fillId="5" borderId="32" xfId="0" applyFont="1" applyFill="1" applyBorder="1" applyAlignment="1">
      <alignment horizontal="center" wrapText="1"/>
    </xf>
    <xf numFmtId="0" fontId="7" fillId="5" borderId="33" xfId="0" applyFont="1" applyFill="1" applyBorder="1" applyAlignment="1">
      <alignment horizontal="center" wrapText="1"/>
    </xf>
    <xf numFmtId="0" fontId="7" fillId="5" borderId="34" xfId="0" applyFont="1" applyFill="1" applyBorder="1" applyAlignment="1">
      <alignment horizontal="center" wrapText="1"/>
    </xf>
    <xf numFmtId="0" fontId="7" fillId="5" borderId="35" xfId="0" applyFont="1" applyFill="1" applyBorder="1" applyAlignment="1">
      <alignment horizontal="center" wrapText="1"/>
    </xf>
    <xf numFmtId="0" fontId="7" fillId="5" borderId="34" xfId="0" applyFont="1" applyFill="1" applyBorder="1"/>
    <xf numFmtId="4" fontId="7" fillId="5" borderId="35" xfId="0" applyNumberFormat="1" applyFont="1" applyFill="1" applyBorder="1" applyAlignment="1">
      <alignment horizontal="right"/>
    </xf>
    <xf numFmtId="0" fontId="7" fillId="7" borderId="34" xfId="0" applyFont="1" applyFill="1" applyBorder="1"/>
    <xf numFmtId="4" fontId="7" fillId="7" borderId="35" xfId="0" applyNumberFormat="1" applyFont="1" applyFill="1" applyBorder="1" applyAlignment="1">
      <alignment horizontal="right"/>
    </xf>
    <xf numFmtId="0" fontId="23" fillId="0" borderId="34" xfId="0" applyFont="1" applyBorder="1"/>
    <xf numFmtId="4" fontId="23" fillId="0" borderId="35" xfId="0" applyNumberFormat="1" applyFont="1" applyBorder="1" applyAlignment="1">
      <alignment horizontal="right"/>
    </xf>
    <xf numFmtId="0" fontId="0" fillId="0" borderId="34" xfId="0" applyBorder="1"/>
    <xf numFmtId="0" fontId="0" fillId="0" borderId="35" xfId="0" applyBorder="1"/>
    <xf numFmtId="0" fontId="7" fillId="6" borderId="34" xfId="0" applyFont="1" applyFill="1" applyBorder="1"/>
    <xf numFmtId="0" fontId="7" fillId="6" borderId="38" xfId="0" applyFont="1" applyFill="1" applyBorder="1"/>
    <xf numFmtId="0" fontId="0" fillId="0" borderId="0" xfId="0" applyFill="1"/>
    <xf numFmtId="0" fontId="7" fillId="0" borderId="0" xfId="0" applyFont="1" applyFill="1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4" fillId="0" borderId="0" xfId="0" applyFont="1" applyAlignment="1">
      <alignment horizontal="left" wrapText="1"/>
    </xf>
    <xf numFmtId="0" fontId="25" fillId="5" borderId="9" xfId="0" applyFont="1" applyFill="1" applyBorder="1" applyAlignment="1">
      <alignment horizontal="center" wrapText="1"/>
    </xf>
    <xf numFmtId="0" fontId="25" fillId="0" borderId="9" xfId="0" applyFont="1" applyBorder="1" applyAlignment="1">
      <alignment horizontal="left" wrapText="1"/>
    </xf>
    <xf numFmtId="0" fontId="0" fillId="0" borderId="9" xfId="0" applyBorder="1" applyAlignment="1">
      <alignment horizontal="right" wrapText="1"/>
    </xf>
    <xf numFmtId="4" fontId="0" fillId="0" borderId="9" xfId="0" applyNumberFormat="1" applyBorder="1" applyAlignment="1">
      <alignment horizontal="right" wrapText="1"/>
    </xf>
    <xf numFmtId="0" fontId="26" fillId="0" borderId="9" xfId="0" applyFont="1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25" fillId="7" borderId="9" xfId="0" applyFont="1" applyFill="1" applyBorder="1" applyAlignment="1">
      <alignment horizontal="left" wrapText="1"/>
    </xf>
    <xf numFmtId="4" fontId="4" fillId="7" borderId="9" xfId="0" applyNumberFormat="1" applyFont="1" applyFill="1" applyBorder="1" applyAlignment="1">
      <alignment horizontal="right" wrapText="1"/>
    </xf>
    <xf numFmtId="4" fontId="4" fillId="0" borderId="9" xfId="0" applyNumberFormat="1" applyFont="1" applyBorder="1" applyAlignment="1">
      <alignment horizontal="right" wrapText="1"/>
    </xf>
    <xf numFmtId="0" fontId="0" fillId="0" borderId="0" xfId="0"/>
    <xf numFmtId="0" fontId="25" fillId="5" borderId="9" xfId="0" applyFont="1" applyFill="1" applyBorder="1" applyAlignment="1">
      <alignment wrapText="1"/>
    </xf>
    <xf numFmtId="0" fontId="7" fillId="5" borderId="9" xfId="0" applyFont="1" applyFill="1" applyBorder="1" applyAlignment="1">
      <alignment horizontal="center" wrapText="1"/>
    </xf>
    <xf numFmtId="4" fontId="0" fillId="0" borderId="9" xfId="0" applyNumberFormat="1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9" xfId="0" applyBorder="1" applyAlignment="1">
      <alignment wrapText="1"/>
    </xf>
    <xf numFmtId="0" fontId="27" fillId="5" borderId="9" xfId="0" applyFont="1" applyFill="1" applyBorder="1" applyAlignment="1">
      <alignment wrapText="1"/>
    </xf>
    <xf numFmtId="4" fontId="27" fillId="5" borderId="9" xfId="0" applyNumberFormat="1" applyFont="1" applyFill="1" applyBorder="1" applyAlignment="1">
      <alignment horizontal="right"/>
    </xf>
    <xf numFmtId="0" fontId="11" fillId="5" borderId="3" xfId="0" applyFont="1" applyFill="1" applyBorder="1" applyAlignment="1">
      <alignment horizontal="center" vertical="top" wrapText="1"/>
    </xf>
    <xf numFmtId="0" fontId="11" fillId="5" borderId="8" xfId="0" applyFont="1" applyFill="1" applyBorder="1" applyAlignment="1">
      <alignment horizontal="center" vertical="top" wrapText="1"/>
    </xf>
    <xf numFmtId="0" fontId="11" fillId="5" borderId="4" xfId="0" applyFont="1" applyFill="1" applyBorder="1" applyAlignment="1">
      <alignment horizontal="center" vertical="top" wrapText="1"/>
    </xf>
    <xf numFmtId="0" fontId="11" fillId="0" borderId="9" xfId="0" applyFont="1" applyBorder="1" applyAlignment="1">
      <alignment wrapText="1"/>
    </xf>
    <xf numFmtId="4" fontId="11" fillId="0" borderId="9" xfId="0" applyNumberFormat="1" applyFont="1" applyBorder="1" applyAlignment="1">
      <alignment horizontal="right"/>
    </xf>
    <xf numFmtId="0" fontId="11" fillId="0" borderId="9" xfId="0" applyFont="1" applyBorder="1" applyAlignment="1">
      <alignment horizontal="right"/>
    </xf>
    <xf numFmtId="0" fontId="28" fillId="5" borderId="9" xfId="0" applyFont="1" applyFill="1" applyBorder="1" applyAlignment="1">
      <alignment wrapText="1"/>
    </xf>
    <xf numFmtId="4" fontId="27" fillId="5" borderId="9" xfId="0" applyNumberFormat="1" applyFont="1" applyFill="1" applyBorder="1" applyAlignment="1">
      <alignment wrapText="1"/>
    </xf>
    <xf numFmtId="4" fontId="28" fillId="5" borderId="9" xfId="0" applyNumberFormat="1" applyFont="1" applyFill="1" applyBorder="1" applyAlignment="1">
      <alignment horizontal="right"/>
    </xf>
    <xf numFmtId="14" fontId="11" fillId="0" borderId="0" xfId="0" applyNumberFormat="1" applyFont="1"/>
    <xf numFmtId="4" fontId="25" fillId="5" borderId="9" xfId="0" applyNumberFormat="1" applyFont="1" applyFill="1" applyBorder="1" applyAlignment="1">
      <alignment horizontal="right" wrapText="1"/>
    </xf>
    <xf numFmtId="0" fontId="25" fillId="0" borderId="9" xfId="0" applyFont="1" applyBorder="1" applyAlignment="1">
      <alignment horizontal="center" wrapText="1"/>
    </xf>
    <xf numFmtId="0" fontId="25" fillId="0" borderId="9" xfId="0" applyFont="1" applyBorder="1" applyAlignment="1">
      <alignment wrapText="1"/>
    </xf>
    <xf numFmtId="0" fontId="4" fillId="5" borderId="9" xfId="0" applyFont="1" applyFill="1" applyBorder="1" applyAlignment="1">
      <alignment horizontal="right"/>
    </xf>
    <xf numFmtId="4" fontId="4" fillId="5" borderId="9" xfId="0" applyNumberFormat="1" applyFont="1" applyFill="1" applyBorder="1" applyAlignment="1">
      <alignment horizontal="right"/>
    </xf>
    <xf numFmtId="4" fontId="0" fillId="5" borderId="9" xfId="0" applyNumberFormat="1" applyFill="1" applyBorder="1" applyAlignment="1">
      <alignment horizontal="right"/>
    </xf>
    <xf numFmtId="0" fontId="29" fillId="0" borderId="9" xfId="0" applyFont="1" applyBorder="1" applyAlignment="1">
      <alignment wrapText="1"/>
    </xf>
    <xf numFmtId="0" fontId="26" fillId="0" borderId="9" xfId="0" applyFont="1" applyBorder="1" applyAlignment="1">
      <alignment wrapText="1"/>
    </xf>
    <xf numFmtId="0" fontId="25" fillId="7" borderId="9" xfId="0" applyFont="1" applyFill="1" applyBorder="1" applyAlignment="1">
      <alignment wrapText="1"/>
    </xf>
    <xf numFmtId="0" fontId="4" fillId="7" borderId="9" xfId="0" applyFont="1" applyFill="1" applyBorder="1" applyAlignment="1">
      <alignment horizontal="right"/>
    </xf>
    <xf numFmtId="4" fontId="4" fillId="7" borderId="9" xfId="0" applyNumberFormat="1" applyFont="1" applyFill="1" applyBorder="1" applyAlignment="1">
      <alignment horizontal="right"/>
    </xf>
    <xf numFmtId="0" fontId="0" fillId="0" borderId="11" xfId="0" applyFill="1" applyBorder="1" applyAlignment="1">
      <alignment horizontal="right"/>
    </xf>
    <xf numFmtId="4" fontId="4" fillId="0" borderId="9" xfId="0" applyNumberFormat="1" applyFont="1" applyBorder="1" applyAlignment="1">
      <alignment horizontal="right"/>
    </xf>
    <xf numFmtId="0" fontId="26" fillId="0" borderId="9" xfId="0" applyFont="1" applyBorder="1" applyAlignment="1">
      <alignment horizontal="center" wrapText="1"/>
    </xf>
    <xf numFmtId="0" fontId="7" fillId="7" borderId="9" xfId="0" applyFont="1" applyFill="1" applyBorder="1" applyAlignment="1">
      <alignment wrapText="1"/>
    </xf>
    <xf numFmtId="4" fontId="19" fillId="7" borderId="9" xfId="0" applyNumberFormat="1" applyFont="1" applyFill="1" applyBorder="1" applyAlignment="1">
      <alignment horizontal="right"/>
    </xf>
    <xf numFmtId="0" fontId="7" fillId="8" borderId="9" xfId="0" applyFont="1" applyFill="1" applyBorder="1" applyAlignment="1">
      <alignment wrapText="1"/>
    </xf>
    <xf numFmtId="4" fontId="4" fillId="8" borderId="9" xfId="0" applyNumberFormat="1" applyFont="1" applyFill="1" applyBorder="1" applyAlignment="1">
      <alignment horizontal="right"/>
    </xf>
    <xf numFmtId="0" fontId="4" fillId="0" borderId="9" xfId="0" applyFont="1" applyBorder="1" applyAlignment="1">
      <alignment horizontal="right"/>
    </xf>
    <xf numFmtId="0" fontId="25" fillId="5" borderId="9" xfId="0" applyFont="1" applyFill="1" applyBorder="1"/>
    <xf numFmtId="0" fontId="4" fillId="0" borderId="9" xfId="0" applyFont="1" applyBorder="1" applyAlignment="1">
      <alignment horizontal="left" wrapText="1"/>
    </xf>
    <xf numFmtId="0" fontId="25" fillId="5" borderId="0" xfId="0" applyFont="1" applyFill="1" applyAlignment="1">
      <alignment horizontal="center" wrapText="1"/>
    </xf>
    <xf numFmtId="0" fontId="25" fillId="5" borderId="0" xfId="0" applyFont="1" applyFill="1" applyAlignment="1">
      <alignment wrapText="1"/>
    </xf>
    <xf numFmtId="4" fontId="4" fillId="5" borderId="0" xfId="0" applyNumberFormat="1" applyFont="1" applyFill="1" applyAlignment="1">
      <alignment horizontal="right"/>
    </xf>
    <xf numFmtId="0" fontId="4" fillId="5" borderId="0" xfId="0" applyFont="1" applyFill="1" applyAlignment="1">
      <alignment horizontal="right"/>
    </xf>
    <xf numFmtId="4" fontId="4" fillId="0" borderId="0" xfId="0" applyNumberFormat="1" applyFont="1" applyAlignment="1">
      <alignment horizontal="right"/>
    </xf>
    <xf numFmtId="0" fontId="25" fillId="0" borderId="0" xfId="0" applyFont="1" applyAlignment="1">
      <alignment wrapText="1"/>
    </xf>
    <xf numFmtId="0" fontId="4" fillId="0" borderId="0" xfId="0" applyFont="1" applyAlignment="1">
      <alignment horizontal="right"/>
    </xf>
    <xf numFmtId="0" fontId="29" fillId="0" borderId="0" xfId="0" applyFont="1" applyAlignment="1">
      <alignment wrapText="1"/>
    </xf>
    <xf numFmtId="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25" fillId="2" borderId="9" xfId="0" applyFont="1" applyFill="1" applyBorder="1" applyAlignment="1">
      <alignment wrapText="1"/>
    </xf>
    <xf numFmtId="4" fontId="4" fillId="2" borderId="9" xfId="0" applyNumberFormat="1" applyFont="1" applyFill="1" applyBorder="1" applyAlignment="1">
      <alignment horizontal="right"/>
    </xf>
    <xf numFmtId="0" fontId="7" fillId="5" borderId="0" xfId="0" applyFont="1" applyFill="1" applyAlignment="1">
      <alignment horizontal="center" wrapText="1"/>
    </xf>
    <xf numFmtId="0" fontId="8" fillId="0" borderId="0" xfId="0" applyFont="1" applyAlignment="1">
      <alignment wrapText="1"/>
    </xf>
    <xf numFmtId="0" fontId="7" fillId="5" borderId="0" xfId="0" applyFont="1" applyFill="1" applyAlignment="1">
      <alignment wrapText="1"/>
    </xf>
    <xf numFmtId="0" fontId="7" fillId="5" borderId="9" xfId="0" applyFont="1" applyFill="1" applyBorder="1" applyAlignment="1">
      <alignment wrapText="1"/>
    </xf>
    <xf numFmtId="4" fontId="4" fillId="5" borderId="9" xfId="0" applyNumberFormat="1" applyFont="1" applyFill="1" applyBorder="1" applyAlignment="1">
      <alignment horizontal="right" wrapText="1"/>
    </xf>
    <xf numFmtId="0" fontId="18" fillId="5" borderId="0" xfId="0" applyFont="1" applyFill="1" applyAlignment="1">
      <alignment horizontal="center" wrapText="1"/>
    </xf>
    <xf numFmtId="0" fontId="17" fillId="0" borderId="0" xfId="0" applyFont="1" applyAlignment="1">
      <alignment horizontal="left" wrapText="1"/>
    </xf>
    <xf numFmtId="0" fontId="17" fillId="0" borderId="0" xfId="0" applyFont="1" applyAlignment="1">
      <alignment horizontal="right" wrapText="1"/>
    </xf>
    <xf numFmtId="0" fontId="26" fillId="0" borderId="9" xfId="0" applyFont="1" applyBorder="1" applyAlignment="1">
      <alignment horizontal="right" wrapText="1"/>
    </xf>
    <xf numFmtId="0" fontId="4" fillId="0" borderId="0" xfId="0" applyFont="1"/>
    <xf numFmtId="0" fontId="0" fillId="5" borderId="2" xfId="0" applyFill="1" applyBorder="1" applyAlignment="1">
      <alignment horizontal="center" vertical="top" wrapText="1"/>
    </xf>
    <xf numFmtId="0" fontId="4" fillId="5" borderId="2" xfId="0" applyFont="1" applyFill="1" applyBorder="1" applyAlignment="1">
      <alignment horizontal="center" vertical="top" wrapText="1"/>
    </xf>
    <xf numFmtId="0" fontId="0" fillId="0" borderId="10" xfId="0" applyBorder="1"/>
    <xf numFmtId="0" fontId="23" fillId="5" borderId="10" xfId="0" applyFont="1" applyFill="1" applyBorder="1" applyAlignment="1">
      <alignment horizontal="center" vertical="top" wrapText="1"/>
    </xf>
    <xf numFmtId="0" fontId="0" fillId="0" borderId="5" xfId="0" applyBorder="1"/>
    <xf numFmtId="0" fontId="23" fillId="5" borderId="5" xfId="0" applyFont="1" applyFill="1" applyBorder="1" applyAlignment="1">
      <alignment horizontal="center" vertical="top" wrapText="1"/>
    </xf>
    <xf numFmtId="4" fontId="0" fillId="0" borderId="0" xfId="0" applyNumberFormat="1" applyAlignment="1">
      <alignment horizontal="left"/>
    </xf>
    <xf numFmtId="0" fontId="30" fillId="0" borderId="0" xfId="0" applyFont="1"/>
    <xf numFmtId="0" fontId="2" fillId="0" borderId="0" xfId="0" applyFont="1"/>
    <xf numFmtId="4" fontId="30" fillId="0" borderId="0" xfId="0" applyNumberFormat="1" applyFont="1"/>
    <xf numFmtId="4" fontId="2" fillId="0" borderId="0" xfId="0" applyNumberFormat="1" applyFont="1"/>
    <xf numFmtId="0" fontId="2" fillId="0" borderId="0" xfId="0" applyFont="1" applyBorder="1" applyAlignment="1">
      <alignment wrapText="1"/>
    </xf>
    <xf numFmtId="4" fontId="2" fillId="0" borderId="0" xfId="0" applyNumberFormat="1" applyFont="1" applyBorder="1" applyAlignment="1">
      <alignment wrapText="1"/>
    </xf>
    <xf numFmtId="4" fontId="30" fillId="0" borderId="0" xfId="0" applyNumberFormat="1" applyFont="1" applyBorder="1" applyAlignment="1">
      <alignment wrapText="1"/>
    </xf>
    <xf numFmtId="0" fontId="2" fillId="0" borderId="0" xfId="0" applyFont="1" applyAlignment="1">
      <alignment horizontal="center" wrapText="1"/>
    </xf>
    <xf numFmtId="0" fontId="31" fillId="0" borderId="0" xfId="0" applyFont="1"/>
    <xf numFmtId="4" fontId="31" fillId="0" borderId="0" xfId="0" applyNumberFormat="1" applyFont="1"/>
    <xf numFmtId="4" fontId="1" fillId="0" borderId="0" xfId="0" applyNumberFormat="1" applyFont="1" applyFill="1" applyBorder="1" applyAlignment="1">
      <alignment horizontal="right"/>
    </xf>
    <xf numFmtId="4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" fillId="2" borderId="60" xfId="0" applyFont="1" applyFill="1" applyBorder="1" applyAlignment="1">
      <alignment horizontal="left" wrapText="1"/>
    </xf>
    <xf numFmtId="0" fontId="2" fillId="2" borderId="53" xfId="0" applyFont="1" applyFill="1" applyBorder="1" applyAlignment="1">
      <alignment horizontal="left" wrapText="1"/>
    </xf>
    <xf numFmtId="0" fontId="1" fillId="2" borderId="62" xfId="0" applyFont="1" applyFill="1" applyBorder="1" applyAlignment="1">
      <alignment wrapText="1"/>
    </xf>
    <xf numFmtId="0" fontId="2" fillId="2" borderId="62" xfId="0" applyFont="1" applyFill="1" applyBorder="1" applyAlignment="1">
      <alignment wrapText="1"/>
    </xf>
    <xf numFmtId="4" fontId="1" fillId="2" borderId="62" xfId="0" applyNumberFormat="1" applyFont="1" applyFill="1" applyBorder="1" applyAlignment="1">
      <alignment horizontal="right"/>
    </xf>
    <xf numFmtId="4" fontId="2" fillId="2" borderId="62" xfId="0" applyNumberFormat="1" applyFont="1" applyFill="1" applyBorder="1" applyAlignment="1">
      <alignment horizontal="right"/>
    </xf>
    <xf numFmtId="4" fontId="2" fillId="2" borderId="62" xfId="0" applyNumberFormat="1" applyFont="1" applyFill="1" applyBorder="1" applyAlignment="1">
      <alignment horizontal="right" wrapText="1"/>
    </xf>
    <xf numFmtId="4" fontId="1" fillId="2" borderId="62" xfId="0" applyNumberFormat="1" applyFont="1" applyFill="1" applyBorder="1" applyAlignment="1">
      <alignment wrapText="1"/>
    </xf>
    <xf numFmtId="4" fontId="1" fillId="2" borderId="62" xfId="0" applyNumberFormat="1" applyFont="1" applyFill="1" applyBorder="1"/>
    <xf numFmtId="4" fontId="2" fillId="2" borderId="62" xfId="0" applyNumberFormat="1" applyFont="1" applyFill="1" applyBorder="1" applyAlignment="1">
      <alignment wrapText="1"/>
    </xf>
    <xf numFmtId="0" fontId="1" fillId="2" borderId="63" xfId="0" applyFont="1" applyFill="1" applyBorder="1" applyAlignment="1">
      <alignment wrapText="1"/>
    </xf>
    <xf numFmtId="4" fontId="1" fillId="2" borderId="63" xfId="0" applyNumberFormat="1" applyFont="1" applyFill="1" applyBorder="1" applyAlignment="1">
      <alignment horizontal="right" wrapText="1"/>
    </xf>
    <xf numFmtId="0" fontId="1" fillId="2" borderId="50" xfId="0" applyFont="1" applyFill="1" applyBorder="1" applyAlignment="1">
      <alignment horizontal="center" wrapText="1"/>
    </xf>
    <xf numFmtId="0" fontId="1" fillId="2" borderId="64" xfId="0" applyFont="1" applyFill="1" applyBorder="1" applyAlignment="1">
      <alignment wrapText="1"/>
    </xf>
    <xf numFmtId="4" fontId="1" fillId="2" borderId="64" xfId="0" applyNumberFormat="1" applyFont="1" applyFill="1" applyBorder="1" applyAlignment="1">
      <alignment horizontal="right"/>
    </xf>
    <xf numFmtId="0" fontId="2" fillId="2" borderId="64" xfId="0" applyFont="1" applyFill="1" applyBorder="1" applyAlignment="1">
      <alignment wrapText="1"/>
    </xf>
    <xf numFmtId="4" fontId="2" fillId="2" borderId="64" xfId="0" applyNumberFormat="1" applyFont="1" applyFill="1" applyBorder="1" applyAlignment="1">
      <alignment wrapText="1"/>
    </xf>
    <xf numFmtId="0" fontId="1" fillId="2" borderId="50" xfId="0" applyFont="1" applyFill="1" applyBorder="1" applyAlignment="1">
      <alignment wrapText="1"/>
    </xf>
    <xf numFmtId="4" fontId="1" fillId="2" borderId="50" xfId="0" applyNumberFormat="1" applyFont="1" applyFill="1" applyBorder="1" applyAlignment="1">
      <alignment horizontal="right"/>
    </xf>
    <xf numFmtId="4" fontId="1" fillId="2" borderId="61" xfId="0" applyNumberFormat="1" applyFont="1" applyFill="1" applyBorder="1" applyAlignment="1">
      <alignment horizontal="right"/>
    </xf>
    <xf numFmtId="0" fontId="2" fillId="2" borderId="62" xfId="0" applyFont="1" applyFill="1" applyBorder="1" applyAlignment="1">
      <alignment horizontal="right"/>
    </xf>
    <xf numFmtId="4" fontId="2" fillId="2" borderId="64" xfId="0" applyNumberFormat="1" applyFont="1" applyFill="1" applyBorder="1" applyAlignment="1">
      <alignment horizontal="right"/>
    </xf>
    <xf numFmtId="0" fontId="1" fillId="2" borderId="44" xfId="0" applyFont="1" applyFill="1" applyBorder="1" applyAlignment="1">
      <alignment horizontal="center" wrapText="1"/>
    </xf>
    <xf numFmtId="0" fontId="2" fillId="0" borderId="0" xfId="0" applyFont="1" applyBorder="1"/>
    <xf numFmtId="165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/>
    <xf numFmtId="0" fontId="2" fillId="2" borderId="48" xfId="0" applyFont="1" applyFill="1" applyBorder="1" applyAlignment="1">
      <alignment horizontal="left" vertical="top" wrapText="1"/>
    </xf>
    <xf numFmtId="0" fontId="2" fillId="2" borderId="60" xfId="0" applyFont="1" applyFill="1" applyBorder="1" applyAlignment="1">
      <alignment horizontal="left" vertical="top" wrapText="1"/>
    </xf>
    <xf numFmtId="0" fontId="1" fillId="2" borderId="45" xfId="0" applyFont="1" applyFill="1" applyBorder="1" applyAlignment="1">
      <alignment horizontal="center" vertical="center" wrapText="1"/>
    </xf>
    <xf numFmtId="0" fontId="1" fillId="2" borderId="54" xfId="0" applyFont="1" applyFill="1" applyBorder="1" applyAlignment="1">
      <alignment horizontal="center" vertical="center" wrapText="1"/>
    </xf>
    <xf numFmtId="0" fontId="1" fillId="2" borderId="55" xfId="0" applyFont="1" applyFill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left" vertical="top" wrapText="1"/>
    </xf>
    <xf numFmtId="0" fontId="2" fillId="0" borderId="55" xfId="0" applyFont="1" applyBorder="1" applyAlignment="1">
      <alignment wrapText="1"/>
    </xf>
    <xf numFmtId="0" fontId="2" fillId="2" borderId="52" xfId="0" applyFont="1" applyFill="1" applyBorder="1" applyAlignment="1">
      <alignment horizontal="left" vertical="top" wrapText="1"/>
    </xf>
    <xf numFmtId="0" fontId="2" fillId="0" borderId="51" xfId="0" applyFont="1" applyBorder="1" applyAlignment="1">
      <alignment wrapText="1"/>
    </xf>
    <xf numFmtId="0" fontId="2" fillId="0" borderId="52" xfId="0" applyFont="1" applyBorder="1" applyAlignment="1">
      <alignment wrapText="1"/>
    </xf>
    <xf numFmtId="0" fontId="2" fillId="0" borderId="56" xfId="0" applyFont="1" applyBorder="1" applyAlignment="1">
      <alignment wrapText="1"/>
    </xf>
    <xf numFmtId="0" fontId="2" fillId="0" borderId="42" xfId="0" applyFont="1" applyBorder="1" applyAlignment="1">
      <alignment wrapText="1"/>
    </xf>
    <xf numFmtId="0" fontId="1" fillId="2" borderId="52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51" xfId="0" applyFont="1" applyFill="1" applyBorder="1" applyAlignment="1">
      <alignment horizontal="center" vertical="center" wrapText="1"/>
    </xf>
    <xf numFmtId="0" fontId="1" fillId="2" borderId="56" xfId="0" applyFont="1" applyFill="1" applyBorder="1" applyAlignment="1">
      <alignment horizontal="center" vertical="center" wrapText="1"/>
    </xf>
    <xf numFmtId="0" fontId="1" fillId="2" borderId="41" xfId="0" applyFont="1" applyFill="1" applyBorder="1" applyAlignment="1">
      <alignment horizontal="center" vertical="center" wrapText="1"/>
    </xf>
    <xf numFmtId="0" fontId="1" fillId="2" borderId="4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1" fillId="2" borderId="58" xfId="0" applyFont="1" applyFill="1" applyBorder="1" applyAlignment="1">
      <alignment horizontal="center" wrapText="1"/>
    </xf>
    <xf numFmtId="0" fontId="1" fillId="2" borderId="46" xfId="0" applyFont="1" applyFill="1" applyBorder="1" applyAlignment="1">
      <alignment horizontal="center" wrapText="1"/>
    </xf>
    <xf numFmtId="0" fontId="1" fillId="2" borderId="59" xfId="0" applyFont="1" applyFill="1" applyBorder="1" applyAlignment="1">
      <alignment horizontal="center" wrapText="1"/>
    </xf>
    <xf numFmtId="0" fontId="1" fillId="2" borderId="65" xfId="0" applyFont="1" applyFill="1" applyBorder="1" applyAlignment="1">
      <alignment horizontal="center" wrapText="1"/>
    </xf>
    <xf numFmtId="0" fontId="2" fillId="2" borderId="25" xfId="0" applyFont="1" applyFill="1" applyBorder="1" applyAlignment="1">
      <alignment wrapText="1"/>
    </xf>
    <xf numFmtId="0" fontId="2" fillId="2" borderId="26" xfId="0" applyFont="1" applyFill="1" applyBorder="1" applyAlignment="1">
      <alignment wrapText="1"/>
    </xf>
    <xf numFmtId="0" fontId="2" fillId="2" borderId="59" xfId="0" applyFont="1" applyFill="1" applyBorder="1" applyAlignment="1">
      <alignment horizontal="center" wrapText="1"/>
    </xf>
    <xf numFmtId="0" fontId="2" fillId="2" borderId="65" xfId="0" applyFont="1" applyFill="1" applyBorder="1" applyAlignment="1">
      <alignment horizontal="center" wrapText="1"/>
    </xf>
    <xf numFmtId="0" fontId="2" fillId="2" borderId="66" xfId="0" applyFont="1" applyFill="1" applyBorder="1" applyAlignment="1">
      <alignment horizontal="center" wrapText="1"/>
    </xf>
    <xf numFmtId="0" fontId="2" fillId="2" borderId="57" xfId="0" applyFont="1" applyFill="1" applyBorder="1" applyAlignment="1">
      <alignment horizontal="center" wrapText="1"/>
    </xf>
    <xf numFmtId="0" fontId="2" fillId="2" borderId="60" xfId="0" applyFont="1" applyFill="1" applyBorder="1" applyAlignment="1">
      <alignment horizontal="center" wrapText="1"/>
    </xf>
    <xf numFmtId="0" fontId="2" fillId="2" borderId="53" xfId="0" applyFont="1" applyFill="1" applyBorder="1" applyAlignment="1">
      <alignment horizontal="center" wrapText="1"/>
    </xf>
    <xf numFmtId="0" fontId="2" fillId="2" borderId="43" xfId="0" applyFont="1" applyFill="1" applyBorder="1" applyAlignment="1">
      <alignment horizontal="center" wrapText="1"/>
    </xf>
    <xf numFmtId="0" fontId="2" fillId="2" borderId="44" xfId="0" applyFont="1" applyFill="1" applyBorder="1" applyAlignment="1">
      <alignment horizontal="center" wrapText="1"/>
    </xf>
    <xf numFmtId="0" fontId="1" fillId="2" borderId="47" xfId="0" applyFont="1" applyFill="1" applyBorder="1" applyAlignment="1">
      <alignment wrapText="1"/>
    </xf>
    <xf numFmtId="0" fontId="1" fillId="2" borderId="67" xfId="0" applyFont="1" applyFill="1" applyBorder="1" applyAlignment="1">
      <alignment wrapText="1"/>
    </xf>
    <xf numFmtId="0" fontId="1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left" vertical="top" wrapText="1"/>
    </xf>
    <xf numFmtId="0" fontId="1" fillId="2" borderId="25" xfId="0" applyFont="1" applyFill="1" applyBorder="1" applyAlignment="1">
      <alignment wrapText="1"/>
    </xf>
    <xf numFmtId="0" fontId="1" fillId="2" borderId="26" xfId="0" applyFont="1" applyFill="1" applyBorder="1" applyAlignment="1">
      <alignment wrapText="1"/>
    </xf>
    <xf numFmtId="0" fontId="1" fillId="2" borderId="43" xfId="0" applyFont="1" applyFill="1" applyBorder="1" applyAlignment="1">
      <alignment wrapText="1"/>
    </xf>
    <xf numFmtId="0" fontId="1" fillId="2" borderId="44" xfId="0" applyFont="1" applyFill="1" applyBorder="1" applyAlignment="1">
      <alignment wrapText="1"/>
    </xf>
    <xf numFmtId="0" fontId="1" fillId="2" borderId="49" xfId="0" applyFont="1" applyFill="1" applyBorder="1" applyAlignment="1">
      <alignment wrapText="1"/>
    </xf>
    <xf numFmtId="0" fontId="1" fillId="2" borderId="68" xfId="0" applyFont="1" applyFill="1" applyBorder="1" applyAlignment="1">
      <alignment wrapText="1"/>
    </xf>
    <xf numFmtId="0" fontId="2" fillId="0" borderId="60" xfId="0" applyFont="1" applyBorder="1" applyAlignment="1">
      <alignment horizontal="left" vertical="top" wrapText="1"/>
    </xf>
    <xf numFmtId="0" fontId="1" fillId="2" borderId="45" xfId="0" applyFont="1" applyFill="1" applyBorder="1" applyAlignment="1">
      <alignment horizontal="center" wrapText="1"/>
    </xf>
    <xf numFmtId="0" fontId="1" fillId="2" borderId="55" xfId="0" applyFont="1" applyFill="1" applyBorder="1" applyAlignment="1">
      <alignment horizontal="center" wrapText="1"/>
    </xf>
    <xf numFmtId="0" fontId="1" fillId="2" borderId="52" xfId="0" applyFont="1" applyFill="1" applyBorder="1" applyAlignment="1">
      <alignment horizontal="center" wrapText="1"/>
    </xf>
    <xf numFmtId="0" fontId="1" fillId="2" borderId="51" xfId="0" applyFont="1" applyFill="1" applyBorder="1" applyAlignment="1">
      <alignment horizontal="center" wrapText="1"/>
    </xf>
    <xf numFmtId="0" fontId="2" fillId="2" borderId="52" xfId="0" applyFont="1" applyFill="1" applyBorder="1" applyAlignment="1">
      <alignment horizontal="center" wrapText="1"/>
    </xf>
    <xf numFmtId="0" fontId="2" fillId="2" borderId="51" xfId="0" applyFont="1" applyFill="1" applyBorder="1" applyAlignment="1">
      <alignment horizontal="center" wrapText="1"/>
    </xf>
    <xf numFmtId="0" fontId="2" fillId="2" borderId="56" xfId="0" applyFont="1" applyFill="1" applyBorder="1" applyAlignment="1">
      <alignment horizontal="center" wrapText="1"/>
    </xf>
    <xf numFmtId="0" fontId="2" fillId="2" borderId="42" xfId="0" applyFont="1" applyFill="1" applyBorder="1" applyAlignment="1">
      <alignment horizontal="center" wrapText="1"/>
    </xf>
    <xf numFmtId="0" fontId="2" fillId="2" borderId="60" xfId="0" applyFont="1" applyFill="1" applyBorder="1" applyAlignment="1">
      <alignment horizontal="left" wrapText="1"/>
    </xf>
    <xf numFmtId="0" fontId="2" fillId="2" borderId="53" xfId="0" applyFont="1" applyFill="1" applyBorder="1" applyAlignment="1">
      <alignment horizontal="left" wrapText="1"/>
    </xf>
    <xf numFmtId="0" fontId="2" fillId="2" borderId="49" xfId="0" applyFont="1" applyFill="1" applyBorder="1" applyAlignment="1">
      <alignment wrapText="1"/>
    </xf>
    <xf numFmtId="0" fontId="2" fillId="2" borderId="68" xfId="0" applyFont="1" applyFill="1" applyBorder="1" applyAlignment="1">
      <alignment wrapText="1"/>
    </xf>
    <xf numFmtId="4" fontId="2" fillId="2" borderId="0" xfId="0" applyNumberFormat="1" applyFont="1" applyFill="1" applyBorder="1" applyAlignment="1">
      <alignment wrapText="1"/>
    </xf>
    <xf numFmtId="0" fontId="2" fillId="2" borderId="0" xfId="0" applyFont="1" applyFill="1" applyBorder="1" applyAlignment="1">
      <alignment wrapText="1"/>
    </xf>
    <xf numFmtId="14" fontId="18" fillId="0" borderId="0" xfId="0" applyNumberFormat="1" applyFont="1" applyBorder="1" applyAlignment="1">
      <alignment horizontal="left" wrapText="1"/>
    </xf>
    <xf numFmtId="0" fontId="18" fillId="0" borderId="0" xfId="0" applyFont="1" applyBorder="1" applyAlignment="1">
      <alignment horizontal="left" wrapText="1"/>
    </xf>
    <xf numFmtId="0" fontId="2" fillId="3" borderId="12" xfId="0" applyFont="1" applyFill="1" applyBorder="1" applyAlignment="1">
      <alignment wrapText="1"/>
    </xf>
    <xf numFmtId="0" fontId="2" fillId="3" borderId="13" xfId="0" applyFont="1" applyFill="1" applyBorder="1" applyAlignment="1">
      <alignment wrapText="1"/>
    </xf>
    <xf numFmtId="0" fontId="1" fillId="3" borderId="12" xfId="0" applyFont="1" applyFill="1" applyBorder="1" applyAlignment="1">
      <alignment wrapText="1"/>
    </xf>
    <xf numFmtId="0" fontId="1" fillId="3" borderId="13" xfId="0" applyFont="1" applyFill="1" applyBorder="1" applyAlignment="1">
      <alignment wrapText="1"/>
    </xf>
    <xf numFmtId="0" fontId="1" fillId="3" borderId="39" xfId="0" applyFont="1" applyFill="1" applyBorder="1" applyAlignment="1">
      <alignment wrapText="1"/>
    </xf>
    <xf numFmtId="0" fontId="1" fillId="3" borderId="40" xfId="0" applyFont="1" applyFill="1" applyBorder="1" applyAlignment="1">
      <alignment wrapText="1"/>
    </xf>
    <xf numFmtId="0" fontId="17" fillId="2" borderId="12" xfId="0" applyFont="1" applyFill="1" applyBorder="1" applyAlignment="1">
      <alignment wrapText="1"/>
    </xf>
    <xf numFmtId="0" fontId="17" fillId="2" borderId="13" xfId="0" applyFont="1" applyFill="1" applyBorder="1" applyAlignment="1">
      <alignment wrapText="1"/>
    </xf>
    <xf numFmtId="0" fontId="18" fillId="2" borderId="12" xfId="0" applyFont="1" applyFill="1" applyBorder="1" applyAlignment="1">
      <alignment wrapText="1"/>
    </xf>
    <xf numFmtId="0" fontId="18" fillId="2" borderId="13" xfId="0" applyFont="1" applyFill="1" applyBorder="1" applyAlignment="1">
      <alignment wrapText="1"/>
    </xf>
    <xf numFmtId="0" fontId="22" fillId="2" borderId="25" xfId="0" applyFont="1" applyFill="1" applyBorder="1"/>
    <xf numFmtId="0" fontId="22" fillId="2" borderId="14" xfId="0" applyFont="1" applyFill="1" applyBorder="1"/>
    <xf numFmtId="0" fontId="22" fillId="2" borderId="26" xfId="0" applyFont="1" applyFill="1" applyBorder="1"/>
    <xf numFmtId="0" fontId="22" fillId="0" borderId="25" xfId="0" applyFont="1" applyFill="1" applyBorder="1"/>
    <xf numFmtId="0" fontId="22" fillId="0" borderId="14" xfId="0" applyFont="1" applyFill="1" applyBorder="1"/>
    <xf numFmtId="0" fontId="22" fillId="0" borderId="26" xfId="0" applyFont="1" applyFill="1" applyBorder="1"/>
    <xf numFmtId="0" fontId="22" fillId="0" borderId="25" xfId="0" applyFont="1" applyBorder="1"/>
    <xf numFmtId="0" fontId="22" fillId="0" borderId="14" xfId="0" applyFont="1" applyBorder="1"/>
    <xf numFmtId="0" fontId="22" fillId="0" borderId="26" xfId="0" applyFont="1" applyBorder="1"/>
    <xf numFmtId="0" fontId="7" fillId="5" borderId="16" xfId="0" applyFont="1" applyFill="1" applyBorder="1" applyAlignment="1">
      <alignment horizontal="center" wrapText="1"/>
    </xf>
    <xf numFmtId="0" fontId="7" fillId="5" borderId="17" xfId="0" applyFont="1" applyFill="1" applyBorder="1" applyAlignment="1">
      <alignment horizontal="center" wrapText="1"/>
    </xf>
    <xf numFmtId="0" fontId="7" fillId="5" borderId="18" xfId="0" applyFont="1" applyFill="1" applyBorder="1" applyAlignment="1">
      <alignment horizontal="center" wrapText="1"/>
    </xf>
    <xf numFmtId="0" fontId="7" fillId="5" borderId="21" xfId="0" applyFont="1" applyFill="1" applyBorder="1" applyAlignment="1">
      <alignment horizontal="center" wrapText="1"/>
    </xf>
    <xf numFmtId="0" fontId="7" fillId="5" borderId="23" xfId="0" applyFont="1" applyFill="1" applyBorder="1" applyAlignment="1">
      <alignment horizontal="center" wrapText="1"/>
    </xf>
    <xf numFmtId="0" fontId="7" fillId="5" borderId="2" xfId="0" applyFont="1" applyFill="1" applyBorder="1" applyAlignment="1">
      <alignment horizontal="center" wrapText="1"/>
    </xf>
    <xf numFmtId="0" fontId="7" fillId="5" borderId="5" xfId="0" applyFont="1" applyFill="1" applyBorder="1" applyAlignment="1">
      <alignment horizontal="center" wrapText="1"/>
    </xf>
    <xf numFmtId="0" fontId="7" fillId="5" borderId="22" xfId="0" applyFont="1" applyFill="1" applyBorder="1" applyAlignment="1">
      <alignment horizontal="center" wrapText="1"/>
    </xf>
    <xf numFmtId="0" fontId="7" fillId="5" borderId="24" xfId="0" applyFont="1" applyFill="1" applyBorder="1" applyAlignment="1">
      <alignment horizontal="center" wrapText="1"/>
    </xf>
    <xf numFmtId="0" fontId="22" fillId="0" borderId="36" xfId="0" applyFont="1" applyFill="1" applyBorder="1"/>
    <xf numFmtId="0" fontId="22" fillId="0" borderId="37" xfId="0" applyFont="1" applyFill="1" applyBorder="1"/>
    <xf numFmtId="0" fontId="0" fillId="0" borderId="0" xfId="0" applyAlignment="1">
      <alignment horizontal="left" wrapText="1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left"/>
    </xf>
    <xf numFmtId="0" fontId="17" fillId="0" borderId="1" xfId="0" applyFont="1" applyBorder="1" applyAlignment="1">
      <alignment horizontal="left" wrapText="1"/>
    </xf>
    <xf numFmtId="0" fontId="25" fillId="5" borderId="12" xfId="0" applyFont="1" applyFill="1" applyBorder="1" applyAlignment="1">
      <alignment horizontal="center" wrapText="1"/>
    </xf>
    <xf numFmtId="0" fontId="25" fillId="5" borderId="13" xfId="0" applyFont="1" applyFill="1" applyBorder="1" applyAlignment="1">
      <alignment horizontal="center" wrapText="1"/>
    </xf>
    <xf numFmtId="0" fontId="4" fillId="0" borderId="12" xfId="0" applyFont="1" applyBorder="1" applyAlignment="1">
      <alignment horizontal="left" wrapText="1"/>
    </xf>
    <xf numFmtId="0" fontId="4" fillId="0" borderId="14" xfId="0" applyFont="1" applyBorder="1" applyAlignment="1">
      <alignment horizontal="left" wrapText="1"/>
    </xf>
    <xf numFmtId="0" fontId="4" fillId="0" borderId="13" xfId="0" applyFont="1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12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25" fillId="5" borderId="2" xfId="0" applyFont="1" applyFill="1" applyBorder="1" applyAlignment="1">
      <alignment horizontal="center" wrapText="1"/>
    </xf>
    <xf numFmtId="0" fontId="25" fillId="5" borderId="5" xfId="0" applyFont="1" applyFill="1" applyBorder="1" applyAlignment="1">
      <alignment horizontal="center" wrapText="1"/>
    </xf>
    <xf numFmtId="0" fontId="25" fillId="5" borderId="14" xfId="0" applyFont="1" applyFill="1" applyBorder="1" applyAlignment="1">
      <alignment horizontal="center" wrapText="1"/>
    </xf>
    <xf numFmtId="0" fontId="0" fillId="0" borderId="0" xfId="0"/>
    <xf numFmtId="0" fontId="17" fillId="0" borderId="1" xfId="0" applyFont="1" applyBorder="1" applyAlignment="1">
      <alignment wrapText="1"/>
    </xf>
    <xf numFmtId="0" fontId="0" fillId="0" borderId="8" xfId="0" applyBorder="1" applyAlignment="1">
      <alignment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 wrapText="1"/>
    </xf>
    <xf numFmtId="0" fontId="19" fillId="0" borderId="0" xfId="0" applyFont="1" applyAlignment="1">
      <alignment horizontal="left" wrapText="1"/>
    </xf>
    <xf numFmtId="0" fontId="25" fillId="5" borderId="12" xfId="0" applyFont="1" applyFill="1" applyBorder="1" applyAlignment="1">
      <alignment horizontal="left" wrapText="1"/>
    </xf>
    <xf numFmtId="0" fontId="25" fillId="5" borderId="13" xfId="0" applyFont="1" applyFill="1" applyBorder="1" applyAlignment="1">
      <alignment horizontal="left" wrapText="1"/>
    </xf>
    <xf numFmtId="0" fontId="25" fillId="5" borderId="3" xfId="0" applyFont="1" applyFill="1" applyBorder="1" applyAlignment="1">
      <alignment horizontal="center" wrapText="1"/>
    </xf>
    <xf numFmtId="0" fontId="25" fillId="5" borderId="4" xfId="0" applyFont="1" applyFill="1" applyBorder="1" applyAlignment="1">
      <alignment horizontal="center" wrapText="1"/>
    </xf>
    <xf numFmtId="0" fontId="25" fillId="5" borderId="6" xfId="0" applyFont="1" applyFill="1" applyBorder="1" applyAlignment="1">
      <alignment horizontal="center" wrapText="1"/>
    </xf>
    <xf numFmtId="0" fontId="25" fillId="5" borderId="7" xfId="0" applyFont="1" applyFill="1" applyBorder="1" applyAlignment="1">
      <alignment horizontal="center" wrapText="1"/>
    </xf>
    <xf numFmtId="0" fontId="0" fillId="0" borderId="12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3" xfId="0" applyBorder="1" applyAlignment="1">
      <alignment wrapText="1"/>
    </xf>
    <xf numFmtId="0" fontId="4" fillId="0" borderId="12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17" fillId="0" borderId="0" xfId="0" applyFont="1" applyAlignment="1">
      <alignment wrapText="1"/>
    </xf>
    <xf numFmtId="0" fontId="25" fillId="5" borderId="0" xfId="0" applyFont="1" applyFill="1" applyAlignment="1">
      <alignment horizontal="center" wrapText="1"/>
    </xf>
    <xf numFmtId="0" fontId="7" fillId="5" borderId="0" xfId="0" applyFont="1" applyFill="1" applyAlignment="1">
      <alignment horizontal="center" wrapText="1"/>
    </xf>
    <xf numFmtId="0" fontId="26" fillId="0" borderId="12" xfId="0" applyFont="1" applyBorder="1" applyAlignment="1">
      <alignment horizontal="center" wrapText="1"/>
    </xf>
    <xf numFmtId="0" fontId="26" fillId="0" borderId="13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25" fillId="5" borderId="12" xfId="0" applyFont="1" applyFill="1" applyBorder="1" applyAlignment="1">
      <alignment wrapText="1"/>
    </xf>
    <xf numFmtId="0" fontId="25" fillId="5" borderId="13" xfId="0" applyFont="1" applyFill="1" applyBorder="1" applyAlignment="1">
      <alignment wrapText="1"/>
    </xf>
    <xf numFmtId="0" fontId="25" fillId="0" borderId="12" xfId="0" applyFont="1" applyBorder="1" applyAlignment="1">
      <alignment wrapText="1"/>
    </xf>
    <xf numFmtId="0" fontId="25" fillId="0" borderId="13" xfId="0" applyFont="1" applyBorder="1" applyAlignment="1">
      <alignment wrapText="1"/>
    </xf>
    <xf numFmtId="0" fontId="26" fillId="0" borderId="12" xfId="0" applyFont="1" applyBorder="1" applyAlignment="1">
      <alignment wrapText="1"/>
    </xf>
    <xf numFmtId="0" fontId="26" fillId="0" borderId="13" xfId="0" applyFont="1" applyBorder="1" applyAlignment="1">
      <alignment wrapText="1"/>
    </xf>
    <xf numFmtId="0" fontId="4" fillId="5" borderId="12" xfId="0" applyFont="1" applyFill="1" applyBorder="1" applyAlignment="1">
      <alignment wrapText="1"/>
    </xf>
    <xf numFmtId="0" fontId="4" fillId="5" borderId="13" xfId="0" applyFont="1" applyFill="1" applyBorder="1" applyAlignment="1">
      <alignment wrapText="1"/>
    </xf>
  </cellXfs>
  <cellStyles count="4">
    <cellStyle name="Normal 3" xfId="1"/>
    <cellStyle name="Normalny" xfId="0" builtinId="0"/>
    <cellStyle name="Normalny 2" xfId="2"/>
    <cellStyle name="Normalny 3" xfId="3"/>
  </cellStyles>
  <dxfs count="17">
    <dxf>
      <font>
        <color rgb="FFC00000"/>
      </font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externalLink" Target="externalLinks/externalLink1.xml"/><Relationship Id="rId50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externalLink" Target="externalLinks/externalLink2.xml"/><Relationship Id="rId8" Type="http://schemas.openxmlformats.org/officeDocument/2006/relationships/worksheet" Target="worksheets/sheet8.xml"/><Relationship Id="rId51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Wydzia&#322;_KK.04\Sprawozdania%202018%20Wydzia&#322;%20ksi&#281;gowo&#347;ci\SF_UM_2018\Z1_Z2_UM_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Wydzia&#322;_KK.04\Sprawozdania%202018%20Wydzia&#322;%20ksi&#281;gowo&#347;ci\SF_UM_2018\Z3_UM_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Wydzia&#322;_KK.04\Sprawozdania%202018%20Wydzia&#322;%20ksi&#281;gowo&#347;ci\SF_UM_2018\Z4_UM_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l-Zob"/>
      <sheetName val="UM _Nal"/>
      <sheetName val="UD_Bem_Nal"/>
      <sheetName val="UD_Bial_Nal"/>
      <sheetName val="UD_Biel_Nal"/>
      <sheetName val="UD_Mok_Nal"/>
      <sheetName val="UD_Och_Nal"/>
      <sheetName val="UD_PragaPd_Nal"/>
      <sheetName val="UD_PragaPn"/>
      <sheetName val="UD_Remb_Nal"/>
      <sheetName val="UD_Srod_Nal"/>
      <sheetName val="UD_Targ_Nal"/>
      <sheetName val="UD_Ursus_Nal"/>
      <sheetName val="UD_Ursyn_Nal"/>
      <sheetName val="UD_Wawer_Nal"/>
      <sheetName val="UD_Wes_Nal"/>
      <sheetName val="UD_Wil_Nal"/>
      <sheetName val="UD_Wlochy_Nal"/>
      <sheetName val="UD_Wola_Nal"/>
      <sheetName val="UD_Zol_Nal"/>
      <sheetName val="UM_Zob"/>
      <sheetName val="UD_Bem_Zob"/>
      <sheetName val="UD_Biał_Zob"/>
      <sheetName val="UD_Biel_Zob"/>
      <sheetName val="UD_Mok_Zob"/>
      <sheetName val="UD_Och_Zob"/>
      <sheetName val="UD_PragaPd_Zob"/>
      <sheetName val="UD_PragaPn_Zob"/>
      <sheetName val="UD_Remb_Zob"/>
      <sheetName val="UD_Srod_Zob"/>
      <sheetName val="UD_Targ_Zob"/>
      <sheetName val="UD_Ursus_Zob"/>
      <sheetName val="UD_Ursyn_Zob"/>
      <sheetName val="UD_Wawer_Zob"/>
      <sheetName val="UD_Wes_Zob"/>
      <sheetName val="UD_Wil_Zob"/>
      <sheetName val="UD_Wlochy_Zob"/>
      <sheetName val="UD_Wola_Zob"/>
      <sheetName val="UD_Zolib_Zob"/>
    </sheetNames>
    <sheetDataSet>
      <sheetData sheetId="0">
        <row r="55">
          <cell r="D55">
            <v>62785</v>
          </cell>
          <cell r="F55">
            <v>62785</v>
          </cell>
          <cell r="H55">
            <v>734288.3</v>
          </cell>
          <cell r="J55">
            <v>734288.3</v>
          </cell>
        </row>
        <row r="60">
          <cell r="F60">
            <v>166700470.91999999</v>
          </cell>
          <cell r="J60">
            <v>175123032.69000003</v>
          </cell>
        </row>
        <row r="61">
          <cell r="J61">
            <v>14905755.93</v>
          </cell>
        </row>
        <row r="64">
          <cell r="D64">
            <v>166700470.91999999</v>
          </cell>
          <cell r="H64">
            <v>190028788.62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zem_Z3"/>
      <sheetName val="UM"/>
      <sheetName val="UD_Bem"/>
      <sheetName val="UD_Bial"/>
      <sheetName val="UD_Biel"/>
      <sheetName val="UD_Mok"/>
      <sheetName val="UD_Ochota"/>
      <sheetName val="UD_PragaPd"/>
      <sheetName val="UD_Praga Pn"/>
      <sheetName val="UD_Remb"/>
      <sheetName val="UD_Srodm"/>
      <sheetName val="UD Targ"/>
      <sheetName val="UD_Ursus"/>
      <sheetName val="UD_Ursyn"/>
      <sheetName val="UD_Wawer"/>
      <sheetName val="UD_Wes"/>
      <sheetName val="UD_Wil"/>
      <sheetName val="UD_Wlochy"/>
      <sheetName val="UD_Wola"/>
      <sheetName val="UD_Zol"/>
    </sheetNames>
    <sheetDataSet>
      <sheetData sheetId="0">
        <row r="67">
          <cell r="D67">
            <v>100.25</v>
          </cell>
          <cell r="E67">
            <v>7777.62</v>
          </cell>
        </row>
        <row r="69">
          <cell r="D69">
            <v>2916810.5</v>
          </cell>
          <cell r="E69">
            <v>4948177.6500000004</v>
          </cell>
        </row>
        <row r="73">
          <cell r="E73">
            <v>21934.799999999999</v>
          </cell>
        </row>
        <row r="74">
          <cell r="D74">
            <v>2916910.75</v>
          </cell>
          <cell r="E74">
            <v>4929101.3999999994</v>
          </cell>
        </row>
        <row r="79">
          <cell r="E79">
            <v>7777.62</v>
          </cell>
        </row>
        <row r="82">
          <cell r="E82">
            <v>2858.55</v>
          </cell>
        </row>
        <row r="86">
          <cell r="E86">
            <v>82</v>
          </cell>
        </row>
        <row r="89">
          <cell r="E89">
            <v>82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zem"/>
      <sheetName val="UM"/>
      <sheetName val="Bemowo"/>
      <sheetName val="Biał"/>
      <sheetName val="Bielany"/>
      <sheetName val="Mok"/>
      <sheetName val="Ochota"/>
      <sheetName val="Praga Pd"/>
      <sheetName val="Praga Pn"/>
      <sheetName val="Remb"/>
      <sheetName val="Srodm"/>
      <sheetName val="Targ"/>
      <sheetName val="Ursus"/>
      <sheetName val="Ursynow"/>
      <sheetName val="Wawer"/>
      <sheetName val="Wesoła"/>
      <sheetName val="Wilanów"/>
      <sheetName val="Włochy"/>
      <sheetName val="Wola"/>
      <sheetName val="Żoliborz"/>
    </sheetNames>
    <sheetDataSet>
      <sheetData sheetId="0">
        <row r="28">
          <cell r="C28">
            <v>1463700.6900000002</v>
          </cell>
          <cell r="D28">
            <v>11423291.639999999</v>
          </cell>
        </row>
        <row r="30">
          <cell r="C30">
            <v>4610361.0000000009</v>
          </cell>
          <cell r="D30">
            <v>1418275.16</v>
          </cell>
        </row>
        <row r="32">
          <cell r="C32">
            <v>1463700.6900000002</v>
          </cell>
          <cell r="D32">
            <v>11423291.640000001</v>
          </cell>
        </row>
        <row r="34">
          <cell r="C34">
            <v>4610361.0000000009</v>
          </cell>
          <cell r="D34">
            <v>1418275.16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topLeftCell="A46" zoomScaleNormal="100" workbookViewId="0">
      <selection activeCell="C53" sqref="C53:D53"/>
    </sheetView>
  </sheetViews>
  <sheetFormatPr defaultRowHeight="15"/>
  <cols>
    <col min="1" max="1" width="33.28515625" style="172" customWidth="1"/>
    <col min="2" max="2" width="21.42578125" style="172" customWidth="1"/>
    <col min="3" max="3" width="22" style="172" customWidth="1"/>
    <col min="4" max="4" width="36.140625" style="172" customWidth="1"/>
    <col min="5" max="5" width="22.28515625" style="172" customWidth="1"/>
    <col min="6" max="6" width="23.28515625" style="172" customWidth="1"/>
    <col min="7" max="7" width="14.5703125" style="171" customWidth="1"/>
    <col min="8" max="8" width="16" style="171" customWidth="1"/>
    <col min="9" max="9" width="11.85546875" style="172" bestFit="1" customWidth="1"/>
    <col min="10" max="10" width="17" style="172" bestFit="1" customWidth="1"/>
    <col min="11" max="16384" width="9.140625" style="172"/>
  </cols>
  <sheetData>
    <row r="1" spans="1:10" ht="15" customHeight="1">
      <c r="A1" s="211" t="s">
        <v>887</v>
      </c>
      <c r="B1" s="213" t="s">
        <v>63</v>
      </c>
      <c r="C1" s="214"/>
      <c r="D1" s="215"/>
      <c r="E1" s="219" t="s">
        <v>892</v>
      </c>
      <c r="F1" s="220"/>
    </row>
    <row r="2" spans="1:10">
      <c r="A2" s="212"/>
      <c r="B2" s="216"/>
      <c r="C2" s="217"/>
      <c r="D2" s="218"/>
      <c r="E2" s="221"/>
      <c r="F2" s="222"/>
    </row>
    <row r="3" spans="1:10">
      <c r="A3" s="212"/>
      <c r="B3" s="216"/>
      <c r="C3" s="217"/>
      <c r="D3" s="218"/>
      <c r="E3" s="221"/>
      <c r="F3" s="222"/>
    </row>
    <row r="4" spans="1:10" ht="27" customHeight="1">
      <c r="A4" s="212"/>
      <c r="B4" s="216"/>
      <c r="C4" s="217"/>
      <c r="D4" s="218"/>
      <c r="E4" s="221"/>
      <c r="F4" s="222"/>
    </row>
    <row r="5" spans="1:10">
      <c r="A5" s="184" t="s">
        <v>0</v>
      </c>
      <c r="B5" s="226" t="s">
        <v>888</v>
      </c>
      <c r="C5" s="227"/>
      <c r="D5" s="228"/>
      <c r="E5" s="223"/>
      <c r="F5" s="222"/>
    </row>
    <row r="6" spans="1:10" ht="15.75" thickBot="1">
      <c r="A6" s="185" t="s">
        <v>889</v>
      </c>
      <c r="B6" s="229"/>
      <c r="C6" s="230"/>
      <c r="D6" s="231"/>
      <c r="E6" s="224"/>
      <c r="F6" s="225"/>
    </row>
    <row r="7" spans="1:10" ht="22.5" customHeight="1" thickBot="1">
      <c r="A7" s="196" t="s">
        <v>1</v>
      </c>
      <c r="B7" s="196" t="s">
        <v>2</v>
      </c>
      <c r="C7" s="196" t="s">
        <v>3</v>
      </c>
      <c r="D7" s="196" t="s">
        <v>4</v>
      </c>
      <c r="E7" s="196" t="s">
        <v>2</v>
      </c>
      <c r="F7" s="196" t="s">
        <v>3</v>
      </c>
    </row>
    <row r="8" spans="1:10" ht="17.25" customHeight="1">
      <c r="A8" s="194" t="s">
        <v>5</v>
      </c>
      <c r="B8" s="195">
        <f>B9+B10+B20+B21+B25+B26</f>
        <v>94984189993.299988</v>
      </c>
      <c r="C8" s="195">
        <f>C9+C10+C20+C21+C25+C26</f>
        <v>16045538584.42</v>
      </c>
      <c r="D8" s="194" t="s">
        <v>64</v>
      </c>
      <c r="E8" s="195">
        <f>E9+E10+E13+E14</f>
        <v>88579856599.839996</v>
      </c>
      <c r="F8" s="195">
        <f>F9+F10+F13+F14</f>
        <v>10281348297.77</v>
      </c>
      <c r="G8" s="173">
        <f>E8-'ZZwFJ 31.12.2018'!C34</f>
        <v>0</v>
      </c>
      <c r="H8" s="173">
        <f>F8-'ZZwFJ 31.12.2018'!D34</f>
        <v>0</v>
      </c>
      <c r="I8" s="174"/>
      <c r="J8" s="174"/>
    </row>
    <row r="9" spans="1:10" ht="27" customHeight="1">
      <c r="A9" s="186" t="s">
        <v>6</v>
      </c>
      <c r="B9" s="188">
        <v>18121391.890000001</v>
      </c>
      <c r="C9" s="188">
        <v>15333264.52</v>
      </c>
      <c r="D9" s="186" t="s">
        <v>7</v>
      </c>
      <c r="E9" s="188">
        <v>78842656190.729996</v>
      </c>
      <c r="F9" s="188">
        <v>-1395850103.6600001</v>
      </c>
      <c r="G9" s="173">
        <f>E9-'ZZwFJ 31.12.2018'!C29</f>
        <v>0</v>
      </c>
      <c r="H9" s="173">
        <f>F9-'ZZwFJ 31.12.2018'!D29</f>
        <v>3.5762786865234375E-6</v>
      </c>
      <c r="I9" s="174"/>
      <c r="J9" s="174"/>
    </row>
    <row r="10" spans="1:10" ht="16.5" customHeight="1">
      <c r="A10" s="186" t="s">
        <v>8</v>
      </c>
      <c r="B10" s="188">
        <f>B11+B18+B19</f>
        <v>48703186421.470001</v>
      </c>
      <c r="C10" s="188">
        <f>C11+C18+C19</f>
        <v>11112649529.190001</v>
      </c>
      <c r="D10" s="186" t="s">
        <v>65</v>
      </c>
      <c r="E10" s="188">
        <f>E11+E12</f>
        <v>9737200409.1099987</v>
      </c>
      <c r="F10" s="188">
        <f>F11+F12</f>
        <v>11677198401.43</v>
      </c>
      <c r="G10" s="173">
        <f>E10-'RZiS 31.12.2018'!C45</f>
        <v>0</v>
      </c>
      <c r="H10" s="173">
        <f>F10-'RZiS 31.12.2018'!D45</f>
        <v>0</v>
      </c>
      <c r="I10" s="174"/>
      <c r="J10" s="174"/>
    </row>
    <row r="11" spans="1:10" ht="16.5" customHeight="1">
      <c r="A11" s="186" t="s">
        <v>9</v>
      </c>
      <c r="B11" s="188">
        <f>B12+SUM(B14:B17)</f>
        <v>47823829226.279999</v>
      </c>
      <c r="C11" s="188">
        <f>C12+SUM(C14:C17)</f>
        <v>10090421267.91</v>
      </c>
      <c r="D11" s="187" t="s">
        <v>10</v>
      </c>
      <c r="E11" s="189">
        <f>10530397669.88-793197260.77</f>
        <v>9737200409.1099987</v>
      </c>
      <c r="F11" s="189">
        <f>12699152379.27-1021953977.84</f>
        <v>11677198401.43</v>
      </c>
      <c r="G11" s="173"/>
      <c r="H11" s="173"/>
      <c r="I11" s="174"/>
      <c r="J11" s="174"/>
    </row>
    <row r="12" spans="1:10" ht="16.5" customHeight="1">
      <c r="A12" s="187" t="s">
        <v>11</v>
      </c>
      <c r="B12" s="189">
        <v>45377509308.370003</v>
      </c>
      <c r="C12" s="189">
        <v>7679300356.7200003</v>
      </c>
      <c r="D12" s="187" t="s">
        <v>12</v>
      </c>
      <c r="E12" s="189">
        <v>0</v>
      </c>
      <c r="F12" s="189">
        <v>0</v>
      </c>
      <c r="G12" s="173"/>
      <c r="H12" s="173"/>
      <c r="I12" s="174"/>
      <c r="J12" s="174"/>
    </row>
    <row r="13" spans="1:10" ht="60">
      <c r="A13" s="187" t="s">
        <v>13</v>
      </c>
      <c r="B13" s="189">
        <v>0</v>
      </c>
      <c r="C13" s="189">
        <v>290066722.63</v>
      </c>
      <c r="D13" s="186" t="s">
        <v>66</v>
      </c>
      <c r="E13" s="188">
        <v>0</v>
      </c>
      <c r="F13" s="188">
        <v>0</v>
      </c>
      <c r="G13" s="173"/>
      <c r="H13" s="173"/>
      <c r="I13" s="174"/>
      <c r="J13" s="174"/>
    </row>
    <row r="14" spans="1:10" ht="30">
      <c r="A14" s="187" t="s">
        <v>14</v>
      </c>
      <c r="B14" s="189">
        <v>2370572699.8699999</v>
      </c>
      <c r="C14" s="189">
        <v>2333542297.0100002</v>
      </c>
      <c r="D14" s="186" t="s">
        <v>15</v>
      </c>
      <c r="E14" s="188">
        <v>0</v>
      </c>
      <c r="F14" s="188">
        <v>0</v>
      </c>
      <c r="G14" s="173"/>
      <c r="H14" s="173"/>
      <c r="I14" s="174"/>
      <c r="J14" s="174"/>
    </row>
    <row r="15" spans="1:10">
      <c r="A15" s="187" t="s">
        <v>16</v>
      </c>
      <c r="B15" s="189">
        <v>43352785.060000002</v>
      </c>
      <c r="C15" s="189">
        <v>43793503.57</v>
      </c>
      <c r="D15" s="186" t="s">
        <v>17</v>
      </c>
      <c r="E15" s="188">
        <v>0</v>
      </c>
      <c r="F15" s="188">
        <v>0</v>
      </c>
      <c r="G15" s="173"/>
      <c r="H15" s="173"/>
      <c r="I15" s="174"/>
      <c r="J15" s="174"/>
    </row>
    <row r="16" spans="1:10">
      <c r="A16" s="187" t="s">
        <v>18</v>
      </c>
      <c r="B16" s="189">
        <v>568937.87</v>
      </c>
      <c r="C16" s="189">
        <v>1224890.71</v>
      </c>
      <c r="D16" s="186" t="s">
        <v>19</v>
      </c>
      <c r="E16" s="188">
        <v>0</v>
      </c>
      <c r="F16" s="188">
        <v>0</v>
      </c>
      <c r="G16" s="173"/>
      <c r="H16" s="173"/>
      <c r="I16" s="174"/>
      <c r="J16" s="174"/>
    </row>
    <row r="17" spans="1:10" ht="29.25">
      <c r="A17" s="187" t="s">
        <v>20</v>
      </c>
      <c r="B17" s="189">
        <v>31825495.109999999</v>
      </c>
      <c r="C17" s="189">
        <v>32560219.899999999</v>
      </c>
      <c r="D17" s="186" t="s">
        <v>67</v>
      </c>
      <c r="E17" s="191">
        <f>E18+E19+E30+E31</f>
        <v>6795068208.2300005</v>
      </c>
      <c r="F17" s="191">
        <f>F18+F19+F30+F31</f>
        <v>6157076408.4400005</v>
      </c>
      <c r="G17" s="173"/>
      <c r="H17" s="173"/>
      <c r="I17" s="174"/>
      <c r="J17" s="174"/>
    </row>
    <row r="18" spans="1:10" ht="29.25">
      <c r="A18" s="186" t="s">
        <v>21</v>
      </c>
      <c r="B18" s="188">
        <v>879357195.19000006</v>
      </c>
      <c r="C18" s="188">
        <v>1022228261.28</v>
      </c>
      <c r="D18" s="187" t="s">
        <v>68</v>
      </c>
      <c r="E18" s="188">
        <f>371940.95-62785</f>
        <v>309155.95</v>
      </c>
      <c r="F18" s="188">
        <f>1003620.12-734288.3</f>
        <v>269331.81999999995</v>
      </c>
      <c r="G18" s="173"/>
      <c r="H18" s="173"/>
      <c r="I18" s="174"/>
      <c r="J18" s="174"/>
    </row>
    <row r="19" spans="1:10" ht="32.25" customHeight="1">
      <c r="A19" s="186" t="s">
        <v>22</v>
      </c>
      <c r="B19" s="188">
        <v>0</v>
      </c>
      <c r="C19" s="188">
        <v>0</v>
      </c>
      <c r="D19" s="186" t="s">
        <v>69</v>
      </c>
      <c r="E19" s="192">
        <f>SUM(E20:E27)</f>
        <v>498573908.89999998</v>
      </c>
      <c r="F19" s="192">
        <f>SUM(F20:F27)</f>
        <v>507587226.71999997</v>
      </c>
      <c r="G19" s="173"/>
      <c r="H19" s="173"/>
      <c r="I19" s="174"/>
      <c r="J19" s="174"/>
    </row>
    <row r="20" spans="1:10">
      <c r="A20" s="186" t="s">
        <v>23</v>
      </c>
      <c r="B20" s="188">
        <f>196586931.77-62785</f>
        <v>196524146.77000001</v>
      </c>
      <c r="C20" s="188">
        <f>175605023.78-734288.3</f>
        <v>174870735.47999999</v>
      </c>
      <c r="D20" s="187" t="s">
        <v>70</v>
      </c>
      <c r="E20" s="189">
        <v>78872774.379999995</v>
      </c>
      <c r="F20" s="189">
        <v>80104575.469999999</v>
      </c>
      <c r="G20" s="173"/>
      <c r="H20" s="173"/>
      <c r="I20" s="174"/>
      <c r="J20" s="174"/>
    </row>
    <row r="21" spans="1:10" ht="29.25">
      <c r="A21" s="186" t="s">
        <v>24</v>
      </c>
      <c r="B21" s="188">
        <f>SUM(B22:B24)</f>
        <v>4689095026.0600004</v>
      </c>
      <c r="C21" s="188">
        <f>SUM(C22:C24)</f>
        <v>4711994549.1599998</v>
      </c>
      <c r="D21" s="187" t="s">
        <v>71</v>
      </c>
      <c r="E21" s="189">
        <v>11897151.470000001</v>
      </c>
      <c r="F21" s="189">
        <v>12504158.369999999</v>
      </c>
      <c r="G21" s="173"/>
      <c r="H21" s="173"/>
      <c r="I21" s="174"/>
      <c r="J21" s="174"/>
    </row>
    <row r="22" spans="1:10" ht="30">
      <c r="A22" s="187" t="s">
        <v>25</v>
      </c>
      <c r="B22" s="189">
        <v>4689095026.0600004</v>
      </c>
      <c r="C22" s="189">
        <v>4711994549.1599998</v>
      </c>
      <c r="D22" s="187" t="s">
        <v>26</v>
      </c>
      <c r="E22" s="189">
        <v>26511410</v>
      </c>
      <c r="F22" s="189">
        <v>41167338.399999999</v>
      </c>
      <c r="G22" s="173"/>
      <c r="H22" s="173"/>
      <c r="I22" s="174"/>
      <c r="J22" s="174"/>
    </row>
    <row r="23" spans="1:10" ht="14.25" customHeight="1">
      <c r="A23" s="187" t="s">
        <v>27</v>
      </c>
      <c r="B23" s="189">
        <v>0</v>
      </c>
      <c r="C23" s="189">
        <v>0</v>
      </c>
      <c r="D23" s="187" t="s">
        <v>28</v>
      </c>
      <c r="E23" s="189">
        <v>35784174.740000002</v>
      </c>
      <c r="F23" s="189">
        <v>38403374.229999997</v>
      </c>
      <c r="G23" s="173"/>
      <c r="H23" s="173"/>
      <c r="I23" s="174"/>
      <c r="J23" s="174"/>
    </row>
    <row r="24" spans="1:10" ht="30">
      <c r="A24" s="187" t="s">
        <v>29</v>
      </c>
      <c r="B24" s="189">
        <v>0</v>
      </c>
      <c r="C24" s="189">
        <v>0</v>
      </c>
      <c r="D24" s="187" t="s">
        <v>30</v>
      </c>
      <c r="E24" s="189">
        <f>414871838.98-166700470.92</f>
        <v>248171368.06000003</v>
      </c>
      <c r="F24" s="189">
        <f>419004263.25-175123032.69</f>
        <v>243881230.56</v>
      </c>
      <c r="G24" s="173"/>
      <c r="H24" s="173"/>
      <c r="I24" s="174"/>
      <c r="J24" s="174"/>
    </row>
    <row r="25" spans="1:10" ht="30">
      <c r="A25" s="186" t="s">
        <v>31</v>
      </c>
      <c r="B25" s="188">
        <v>41377263007.110001</v>
      </c>
      <c r="C25" s="188">
        <v>30690506.07</v>
      </c>
      <c r="D25" s="187" t="s">
        <v>72</v>
      </c>
      <c r="E25" s="189">
        <v>89314468.079999998</v>
      </c>
      <c r="F25" s="189">
        <f>97093330.38-14905755.93</f>
        <v>82187574.449999988</v>
      </c>
      <c r="G25" s="173"/>
      <c r="H25" s="173"/>
      <c r="I25" s="174"/>
      <c r="J25" s="174"/>
    </row>
    <row r="26" spans="1:10" ht="45">
      <c r="A26" s="186" t="s">
        <v>32</v>
      </c>
      <c r="B26" s="188">
        <v>0</v>
      </c>
      <c r="C26" s="188">
        <v>0</v>
      </c>
      <c r="D26" s="187" t="s">
        <v>33</v>
      </c>
      <c r="E26" s="189">
        <v>901114.21</v>
      </c>
      <c r="F26" s="189">
        <v>1407377.02</v>
      </c>
      <c r="G26" s="173"/>
      <c r="H26" s="173"/>
      <c r="I26" s="174"/>
      <c r="J26" s="174"/>
    </row>
    <row r="27" spans="1:10">
      <c r="A27" s="186" t="s">
        <v>34</v>
      </c>
      <c r="B27" s="188">
        <f>B28+B33+B39+B47</f>
        <v>390734814.77000004</v>
      </c>
      <c r="C27" s="188">
        <f>C28+C33+C39+C47</f>
        <v>392886121.78999996</v>
      </c>
      <c r="D27" s="187" t="s">
        <v>35</v>
      </c>
      <c r="E27" s="189">
        <f>SUM(E28:E29)</f>
        <v>7121447.96</v>
      </c>
      <c r="F27" s="189">
        <f>SUM(F28:F29)</f>
        <v>7931598.2199999997</v>
      </c>
      <c r="G27" s="173"/>
      <c r="H27" s="173"/>
      <c r="I27" s="174"/>
      <c r="J27" s="174"/>
    </row>
    <row r="28" spans="1:10" ht="30">
      <c r="A28" s="186" t="s">
        <v>36</v>
      </c>
      <c r="B28" s="188">
        <f>SUM(B29:B32)</f>
        <v>1966955.79</v>
      </c>
      <c r="C28" s="188">
        <f>SUM(C29:C32)</f>
        <v>1990819.27</v>
      </c>
      <c r="D28" s="187" t="s">
        <v>37</v>
      </c>
      <c r="E28" s="189">
        <v>7121447.96</v>
      </c>
      <c r="F28" s="189">
        <v>7931598.2199999997</v>
      </c>
      <c r="G28" s="173"/>
      <c r="H28" s="173"/>
      <c r="I28" s="174"/>
      <c r="J28" s="174"/>
    </row>
    <row r="29" spans="1:10">
      <c r="A29" s="187" t="s">
        <v>38</v>
      </c>
      <c r="B29" s="189">
        <v>1966955.79</v>
      </c>
      <c r="C29" s="189">
        <v>1990819.27</v>
      </c>
      <c r="D29" s="187" t="s">
        <v>39</v>
      </c>
      <c r="E29" s="189">
        <v>0</v>
      </c>
      <c r="F29" s="189">
        <v>0</v>
      </c>
      <c r="G29" s="173"/>
      <c r="H29" s="173"/>
      <c r="I29" s="174"/>
      <c r="J29" s="174"/>
    </row>
    <row r="30" spans="1:10">
      <c r="A30" s="187" t="s">
        <v>40</v>
      </c>
      <c r="B30" s="189">
        <v>0</v>
      </c>
      <c r="C30" s="189">
        <v>0</v>
      </c>
      <c r="D30" s="186" t="s">
        <v>41</v>
      </c>
      <c r="E30" s="188">
        <v>6155984347.0100002</v>
      </c>
      <c r="F30" s="188">
        <v>5520710443.2700005</v>
      </c>
      <c r="G30" s="173"/>
      <c r="H30" s="173"/>
      <c r="I30" s="174"/>
      <c r="J30" s="174"/>
    </row>
    <row r="31" spans="1:10">
      <c r="A31" s="187" t="s">
        <v>42</v>
      </c>
      <c r="B31" s="189">
        <v>0</v>
      </c>
      <c r="C31" s="189">
        <v>0</v>
      </c>
      <c r="D31" s="186" t="s">
        <v>59</v>
      </c>
      <c r="E31" s="188">
        <f>E32+E33</f>
        <v>140200796.37</v>
      </c>
      <c r="F31" s="188">
        <f>F32+F33</f>
        <v>128509406.63</v>
      </c>
      <c r="G31" s="173"/>
      <c r="H31" s="173"/>
      <c r="I31" s="174"/>
      <c r="J31" s="174"/>
    </row>
    <row r="32" spans="1:10" ht="30">
      <c r="A32" s="187" t="s">
        <v>43</v>
      </c>
      <c r="B32" s="189">
        <v>0</v>
      </c>
      <c r="C32" s="189">
        <v>0</v>
      </c>
      <c r="D32" s="187" t="s">
        <v>44</v>
      </c>
      <c r="E32" s="189">
        <v>140200796.37</v>
      </c>
      <c r="F32" s="189">
        <v>128509406.63</v>
      </c>
      <c r="G32" s="173"/>
      <c r="H32" s="173"/>
      <c r="I32" s="174"/>
      <c r="J32" s="174"/>
    </row>
    <row r="33" spans="1:10">
      <c r="A33" s="186" t="s">
        <v>45</v>
      </c>
      <c r="B33" s="188">
        <f>SUM(B34:B38)</f>
        <v>277884655.75</v>
      </c>
      <c r="C33" s="188">
        <f>SUM(C34:C38)</f>
        <v>267597069.46999997</v>
      </c>
      <c r="D33" s="187" t="s">
        <v>73</v>
      </c>
      <c r="E33" s="189">
        <v>0</v>
      </c>
      <c r="F33" s="189">
        <v>0</v>
      </c>
      <c r="G33" s="173"/>
      <c r="H33" s="173"/>
      <c r="I33" s="174"/>
      <c r="J33" s="174"/>
    </row>
    <row r="34" spans="1:10">
      <c r="A34" s="187" t="s">
        <v>46</v>
      </c>
      <c r="B34" s="189">
        <v>2628202.54</v>
      </c>
      <c r="C34" s="189">
        <v>2754714.08</v>
      </c>
      <c r="D34" s="187"/>
      <c r="E34" s="188"/>
      <c r="F34" s="188"/>
      <c r="G34" s="173"/>
      <c r="H34" s="173"/>
      <c r="I34" s="174"/>
      <c r="J34" s="174"/>
    </row>
    <row r="35" spans="1:10">
      <c r="A35" s="187" t="s">
        <v>47</v>
      </c>
      <c r="B35" s="189">
        <v>52695943.840000004</v>
      </c>
      <c r="C35" s="189">
        <v>47342284.159999996</v>
      </c>
      <c r="D35" s="187"/>
      <c r="E35" s="188"/>
      <c r="F35" s="188"/>
      <c r="G35" s="173"/>
      <c r="H35" s="173"/>
      <c r="I35" s="174"/>
      <c r="J35" s="174"/>
    </row>
    <row r="36" spans="1:10" ht="30">
      <c r="A36" s="187" t="s">
        <v>48</v>
      </c>
      <c r="B36" s="189">
        <v>129.99</v>
      </c>
      <c r="C36" s="189">
        <v>129.99</v>
      </c>
      <c r="D36" s="187"/>
      <c r="E36" s="188"/>
      <c r="F36" s="188"/>
      <c r="G36" s="173"/>
      <c r="H36" s="173"/>
      <c r="I36" s="174"/>
      <c r="J36" s="174"/>
    </row>
    <row r="37" spans="1:10">
      <c r="A37" s="187" t="s">
        <v>49</v>
      </c>
      <c r="B37" s="189">
        <f>389260850.3-166700470.92</f>
        <v>222560379.38000003</v>
      </c>
      <c r="C37" s="189">
        <f>407528018.96-190028788.62</f>
        <v>217499230.33999997</v>
      </c>
      <c r="D37" s="186"/>
      <c r="E37" s="188"/>
      <c r="F37" s="188"/>
      <c r="G37" s="173"/>
      <c r="H37" s="173"/>
      <c r="I37" s="174"/>
    </row>
    <row r="38" spans="1:10" ht="45">
      <c r="A38" s="187" t="s">
        <v>50</v>
      </c>
      <c r="B38" s="189">
        <v>0</v>
      </c>
      <c r="C38" s="189">
        <v>710.9</v>
      </c>
      <c r="D38" s="187"/>
      <c r="E38" s="190"/>
      <c r="F38" s="190"/>
      <c r="G38" s="173"/>
      <c r="H38" s="173"/>
      <c r="I38" s="174"/>
    </row>
    <row r="39" spans="1:10" ht="28.5" customHeight="1">
      <c r="A39" s="186" t="s">
        <v>51</v>
      </c>
      <c r="B39" s="188">
        <f>SUM(B40:B46)</f>
        <v>97324514.790000007</v>
      </c>
      <c r="C39" s="188">
        <f>SUM(C40:C46)</f>
        <v>106567130.85000001</v>
      </c>
      <c r="D39" s="187"/>
      <c r="E39" s="193"/>
      <c r="F39" s="193"/>
      <c r="G39" s="173"/>
      <c r="H39" s="173"/>
      <c r="I39" s="174"/>
    </row>
    <row r="40" spans="1:10" ht="18.75" customHeight="1">
      <c r="A40" s="187" t="s">
        <v>52</v>
      </c>
      <c r="B40" s="189">
        <v>1276</v>
      </c>
      <c r="C40" s="189">
        <v>0</v>
      </c>
      <c r="D40" s="187"/>
      <c r="E40" s="193"/>
      <c r="F40" s="193"/>
      <c r="G40" s="173"/>
      <c r="H40" s="173"/>
      <c r="I40" s="174"/>
    </row>
    <row r="41" spans="1:10" ht="31.5" customHeight="1">
      <c r="A41" s="187" t="s">
        <v>53</v>
      </c>
      <c r="B41" s="189">
        <v>6869978.5099999998</v>
      </c>
      <c r="C41" s="189">
        <v>8141671.04</v>
      </c>
      <c r="D41" s="187"/>
      <c r="E41" s="193"/>
      <c r="F41" s="193"/>
      <c r="G41" s="173"/>
      <c r="H41" s="173"/>
      <c r="I41" s="174"/>
    </row>
    <row r="42" spans="1:10" ht="30">
      <c r="A42" s="187" t="s">
        <v>54</v>
      </c>
      <c r="B42" s="189">
        <v>0</v>
      </c>
      <c r="C42" s="189">
        <v>0</v>
      </c>
      <c r="D42" s="187"/>
      <c r="E42" s="193"/>
      <c r="F42" s="193"/>
      <c r="G42" s="173"/>
      <c r="H42" s="173"/>
      <c r="I42" s="174"/>
    </row>
    <row r="43" spans="1:10" ht="18.75" customHeight="1">
      <c r="A43" s="187" t="s">
        <v>55</v>
      </c>
      <c r="B43" s="190">
        <v>90371433.780000001</v>
      </c>
      <c r="C43" s="190">
        <v>98425459.810000002</v>
      </c>
      <c r="D43" s="187"/>
      <c r="E43" s="193"/>
      <c r="F43" s="193"/>
      <c r="G43" s="173"/>
      <c r="H43" s="173"/>
      <c r="I43" s="174"/>
    </row>
    <row r="44" spans="1:10" ht="16.5" customHeight="1">
      <c r="A44" s="187" t="s">
        <v>56</v>
      </c>
      <c r="B44" s="189">
        <v>81826.5</v>
      </c>
      <c r="C44" s="189">
        <v>0</v>
      </c>
      <c r="D44" s="187"/>
      <c r="E44" s="193"/>
      <c r="F44" s="193"/>
      <c r="G44" s="173"/>
      <c r="H44" s="173"/>
      <c r="I44" s="174"/>
    </row>
    <row r="45" spans="1:10" ht="18.75" customHeight="1">
      <c r="A45" s="187" t="s">
        <v>57</v>
      </c>
      <c r="B45" s="189">
        <v>0</v>
      </c>
      <c r="C45" s="189">
        <v>0</v>
      </c>
      <c r="D45" s="187"/>
      <c r="E45" s="193"/>
      <c r="F45" s="193"/>
      <c r="G45" s="173"/>
      <c r="H45" s="173"/>
      <c r="I45" s="174"/>
    </row>
    <row r="46" spans="1:10" ht="18.75" customHeight="1">
      <c r="A46" s="187" t="s">
        <v>58</v>
      </c>
      <c r="B46" s="189">
        <v>0</v>
      </c>
      <c r="C46" s="189">
        <v>0</v>
      </c>
      <c r="D46" s="187"/>
      <c r="E46" s="193"/>
      <c r="F46" s="193"/>
      <c r="G46" s="173"/>
      <c r="H46" s="173"/>
      <c r="I46" s="174"/>
    </row>
    <row r="47" spans="1:10" ht="18.75" customHeight="1" thickBot="1">
      <c r="A47" s="197" t="s">
        <v>74</v>
      </c>
      <c r="B47" s="198">
        <v>13558688.439999999</v>
      </c>
      <c r="C47" s="198">
        <v>16731102.199999999</v>
      </c>
      <c r="D47" s="199"/>
      <c r="E47" s="200"/>
      <c r="F47" s="200"/>
      <c r="G47" s="173"/>
      <c r="H47" s="173"/>
      <c r="I47" s="174"/>
    </row>
    <row r="48" spans="1:10" ht="17.25" customHeight="1" thickBot="1">
      <c r="A48" s="201" t="s">
        <v>60</v>
      </c>
      <c r="B48" s="202">
        <f>B8+B27</f>
        <v>95374924808.069992</v>
      </c>
      <c r="C48" s="202">
        <f>C8+C27</f>
        <v>16438424706.209999</v>
      </c>
      <c r="D48" s="201" t="s">
        <v>61</v>
      </c>
      <c r="E48" s="202">
        <f>E8+E15+E16+E17</f>
        <v>95374924808.069992</v>
      </c>
      <c r="F48" s="202">
        <f>F8+F15+F16+F17</f>
        <v>16438424706.210001</v>
      </c>
      <c r="G48" s="173"/>
      <c r="H48" s="173"/>
      <c r="I48" s="174"/>
    </row>
    <row r="49" spans="1:6">
      <c r="A49" s="232"/>
      <c r="B49" s="232"/>
      <c r="C49" s="232"/>
      <c r="D49" s="232"/>
      <c r="E49" s="232"/>
      <c r="F49" s="232"/>
    </row>
    <row r="50" spans="1:6">
      <c r="A50" s="175"/>
      <c r="B50" s="176"/>
      <c r="C50" s="176"/>
      <c r="D50" s="175"/>
      <c r="E50" s="177">
        <f>E48-B48</f>
        <v>0</v>
      </c>
      <c r="F50" s="177">
        <f>F48-C48</f>
        <v>0</v>
      </c>
    </row>
    <row r="51" spans="1:6">
      <c r="A51" s="175"/>
      <c r="B51" s="175"/>
      <c r="C51" s="175"/>
      <c r="D51" s="175"/>
      <c r="E51" s="175"/>
      <c r="F51" s="175"/>
    </row>
    <row r="52" spans="1:6">
      <c r="A52" s="175"/>
      <c r="B52" s="175"/>
      <c r="C52" s="175"/>
      <c r="D52" s="175"/>
      <c r="E52" s="175"/>
      <c r="F52" s="175"/>
    </row>
    <row r="53" spans="1:6" ht="15" customHeight="1">
      <c r="A53" s="175"/>
      <c r="B53" s="175"/>
      <c r="C53" s="208">
        <v>43592</v>
      </c>
      <c r="D53" s="208"/>
      <c r="E53" s="175"/>
      <c r="F53" s="175"/>
    </row>
    <row r="54" spans="1:6" ht="30">
      <c r="A54" s="178" t="s">
        <v>62</v>
      </c>
      <c r="B54" s="178"/>
      <c r="C54" s="209" t="s">
        <v>75</v>
      </c>
      <c r="D54" s="210"/>
      <c r="E54" s="178"/>
      <c r="F54" s="178" t="s">
        <v>891</v>
      </c>
    </row>
    <row r="55" spans="1:6">
      <c r="A55" s="178" t="s">
        <v>76</v>
      </c>
      <c r="E55" s="178"/>
      <c r="F55" s="178" t="s">
        <v>77</v>
      </c>
    </row>
    <row r="56" spans="1:6">
      <c r="A56" s="178"/>
      <c r="B56" s="178"/>
      <c r="C56" s="178"/>
      <c r="E56" s="178"/>
    </row>
    <row r="57" spans="1:6">
      <c r="A57" s="3"/>
      <c r="B57" s="178"/>
      <c r="C57" s="178"/>
      <c r="E57" s="178"/>
    </row>
    <row r="58" spans="1:6">
      <c r="A58" s="178"/>
      <c r="B58" s="178"/>
      <c r="C58" s="178"/>
      <c r="E58" s="178"/>
    </row>
    <row r="63" spans="1:6">
      <c r="A63" s="3"/>
    </row>
  </sheetData>
  <mergeCells count="7">
    <mergeCell ref="C53:D53"/>
    <mergeCell ref="C54:D54"/>
    <mergeCell ref="A1:A4"/>
    <mergeCell ref="B1:D4"/>
    <mergeCell ref="E1:F6"/>
    <mergeCell ref="B5:D6"/>
    <mergeCell ref="A49:F49"/>
  </mergeCells>
  <pageMargins left="0.31496062992125984" right="0.31496062992125984" top="0.35433070866141736" bottom="0.35433070866141736" header="0.31496062992125984" footer="0.31496062992125984"/>
  <pageSetup paperSize="9" scale="6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6"/>
  <sheetViews>
    <sheetView workbookViewId="0">
      <pane xSplit="2" ySplit="2" topLeftCell="M15" activePane="bottomRight" state="frozen"/>
      <selection activeCell="B47" sqref="B47"/>
      <selection pane="topRight" activeCell="B47" sqref="B47"/>
      <selection pane="bottomLeft" activeCell="B47" sqref="B47"/>
      <selection pane="bottomRight" activeCell="B47" sqref="B47"/>
    </sheetView>
  </sheetViews>
  <sheetFormatPr defaultRowHeight="15"/>
  <cols>
    <col min="1" max="1" width="4.85546875" bestFit="1" customWidth="1"/>
    <col min="2" max="2" width="41.140625" bestFit="1" customWidth="1"/>
    <col min="3" max="23" width="17.85546875" customWidth="1"/>
    <col min="24" max="24" width="15.5703125" customWidth="1"/>
  </cols>
  <sheetData>
    <row r="1" spans="1:24">
      <c r="B1" s="4" t="s">
        <v>400</v>
      </c>
      <c r="C1" s="17">
        <v>43591</v>
      </c>
    </row>
    <row r="2" spans="1:24" s="7" customFormat="1" ht="31.5">
      <c r="A2" s="6" t="s">
        <v>80</v>
      </c>
      <c r="B2" s="6" t="s">
        <v>81</v>
      </c>
      <c r="C2" s="6" t="s">
        <v>82</v>
      </c>
      <c r="D2" s="6" t="s">
        <v>83</v>
      </c>
      <c r="E2" s="6" t="s">
        <v>84</v>
      </c>
      <c r="F2" s="6" t="s">
        <v>85</v>
      </c>
      <c r="G2" s="6" t="s">
        <v>86</v>
      </c>
      <c r="H2" s="6" t="s">
        <v>87</v>
      </c>
      <c r="I2" s="6" t="s">
        <v>88</v>
      </c>
      <c r="J2" s="6" t="s">
        <v>89</v>
      </c>
      <c r="K2" s="6" t="s">
        <v>90</v>
      </c>
      <c r="L2" s="6" t="s">
        <v>91</v>
      </c>
      <c r="M2" s="6" t="s">
        <v>92</v>
      </c>
      <c r="N2" s="6" t="s">
        <v>93</v>
      </c>
      <c r="O2" s="6" t="s">
        <v>94</v>
      </c>
      <c r="P2" s="6" t="s">
        <v>95</v>
      </c>
      <c r="Q2" s="6" t="s">
        <v>96</v>
      </c>
      <c r="R2" s="6" t="s">
        <v>97</v>
      </c>
      <c r="S2" s="6" t="s">
        <v>98</v>
      </c>
      <c r="T2" s="6" t="s">
        <v>99</v>
      </c>
      <c r="U2" s="6" t="s">
        <v>100</v>
      </c>
      <c r="V2" s="6" t="s">
        <v>101</v>
      </c>
      <c r="W2" s="6" t="s">
        <v>401</v>
      </c>
    </row>
    <row r="3" spans="1:24" s="11" customFormat="1" ht="21">
      <c r="A3" s="8" t="s">
        <v>103</v>
      </c>
      <c r="B3" s="9" t="s">
        <v>361</v>
      </c>
      <c r="C3" s="10">
        <v>12905394691.879999</v>
      </c>
      <c r="D3" s="10">
        <v>56804721.32</v>
      </c>
      <c r="E3" s="10">
        <v>73607850.319999993</v>
      </c>
      <c r="F3" s="10">
        <v>48991001.539999999</v>
      </c>
      <c r="G3" s="10">
        <v>234583777.53999999</v>
      </c>
      <c r="H3" s="10">
        <v>85830983.590000004</v>
      </c>
      <c r="I3" s="10">
        <v>90899605.129999995</v>
      </c>
      <c r="J3" s="10">
        <v>26696139.510000002</v>
      </c>
      <c r="K3" s="10">
        <v>12688156.77</v>
      </c>
      <c r="L3" s="10">
        <v>218746693.15000001</v>
      </c>
      <c r="M3" s="10">
        <v>67540060.670000002</v>
      </c>
      <c r="N3" s="10">
        <v>28049564.879999999</v>
      </c>
      <c r="O3" s="10">
        <v>104858479.52</v>
      </c>
      <c r="P3" s="10">
        <v>34753152.659999996</v>
      </c>
      <c r="Q3" s="10">
        <v>7498711.9500000002</v>
      </c>
      <c r="R3" s="10">
        <v>23960036.640000001</v>
      </c>
      <c r="S3" s="10">
        <v>65312368.890000001</v>
      </c>
      <c r="T3" s="10">
        <v>147365277.28999999</v>
      </c>
      <c r="U3" s="10">
        <v>39050320.859999999</v>
      </c>
      <c r="V3" s="10">
        <f>SUM(V4:V9)</f>
        <v>-4955955.2700000005</v>
      </c>
      <c r="W3" s="10">
        <f>SUM(W4:W9)</f>
        <v>14267675638.839996</v>
      </c>
      <c r="X3" s="35">
        <f>W3-'RZiS 31.12.2018'!D8</f>
        <v>0</v>
      </c>
    </row>
    <row r="4" spans="1:24" s="7" customFormat="1" ht="10.5">
      <c r="A4" s="12" t="s">
        <v>105</v>
      </c>
      <c r="B4" s="13" t="s">
        <v>362</v>
      </c>
      <c r="C4" s="14">
        <v>4703438.0599999996</v>
      </c>
      <c r="D4" s="14">
        <v>11584260.039999999</v>
      </c>
      <c r="E4" s="14">
        <v>19824612.18</v>
      </c>
      <c r="F4" s="14">
        <v>7150201.1600000001</v>
      </c>
      <c r="G4" s="14">
        <v>132657048.40000001</v>
      </c>
      <c r="H4" s="14">
        <v>49223825.380000003</v>
      </c>
      <c r="I4" s="14">
        <v>51951545.549999997</v>
      </c>
      <c r="J4" s="14">
        <v>9937253.7300000004</v>
      </c>
      <c r="K4" s="14">
        <v>4457147.7</v>
      </c>
      <c r="L4" s="14">
        <v>142940750.22999999</v>
      </c>
      <c r="M4" s="14">
        <v>30983911</v>
      </c>
      <c r="N4" s="14">
        <v>9679970.8599999994</v>
      </c>
      <c r="O4" s="14">
        <v>61776775.859999999</v>
      </c>
      <c r="P4" s="14">
        <v>5445905.7300000004</v>
      </c>
      <c r="Q4" s="14">
        <v>976960.12</v>
      </c>
      <c r="R4" s="14">
        <v>6188463.6799999997</v>
      </c>
      <c r="S4" s="14">
        <v>10121480.17</v>
      </c>
      <c r="T4" s="14">
        <v>18262595.260000002</v>
      </c>
      <c r="U4" s="14">
        <v>27515466.77</v>
      </c>
      <c r="V4" s="14">
        <f>-[2]Razem_Z3!$E$67</f>
        <v>-7777.62</v>
      </c>
      <c r="W4" s="14">
        <f t="shared" ref="W4:W9" si="0">SUM(C4:V4)</f>
        <v>605373834.25999987</v>
      </c>
      <c r="X4" s="35">
        <f>W4-'RZiS 31.12.2018'!D9</f>
        <v>0</v>
      </c>
    </row>
    <row r="5" spans="1:24" s="7" customFormat="1" ht="31.5">
      <c r="A5" s="12" t="s">
        <v>107</v>
      </c>
      <c r="B5" s="13" t="s">
        <v>363</v>
      </c>
      <c r="C5" s="14">
        <v>0</v>
      </c>
      <c r="D5" s="14">
        <v>-4269.34</v>
      </c>
      <c r="E5" s="14">
        <v>0</v>
      </c>
      <c r="F5" s="14">
        <v>0</v>
      </c>
      <c r="G5" s="14">
        <v>0</v>
      </c>
      <c r="H5" s="14">
        <v>0</v>
      </c>
      <c r="I5" s="14">
        <v>0</v>
      </c>
      <c r="J5" s="14">
        <v>0</v>
      </c>
      <c r="K5" s="14">
        <v>0</v>
      </c>
      <c r="L5" s="14">
        <v>0</v>
      </c>
      <c r="M5" s="14">
        <v>-33088.31</v>
      </c>
      <c r="N5" s="14">
        <v>10305.14</v>
      </c>
      <c r="O5" s="14">
        <v>24172.52</v>
      </c>
      <c r="P5" s="14">
        <v>-3573.49</v>
      </c>
      <c r="Q5" s="14">
        <v>6489.4</v>
      </c>
      <c r="R5" s="14">
        <v>0</v>
      </c>
      <c r="S5" s="14">
        <v>-7953.16</v>
      </c>
      <c r="T5" s="14">
        <v>0</v>
      </c>
      <c r="U5" s="14">
        <v>0</v>
      </c>
      <c r="V5" s="14"/>
      <c r="W5" s="14">
        <f t="shared" si="0"/>
        <v>-7917.2399999999943</v>
      </c>
      <c r="X5" s="35">
        <f>W5-'RZiS 31.12.2018'!D10</f>
        <v>0</v>
      </c>
    </row>
    <row r="6" spans="1:24" s="7" customFormat="1" ht="21">
      <c r="A6" s="12" t="s">
        <v>124</v>
      </c>
      <c r="B6" s="13" t="s">
        <v>364</v>
      </c>
      <c r="C6" s="14">
        <v>0</v>
      </c>
      <c r="D6" s="14">
        <v>0</v>
      </c>
      <c r="E6" s="14">
        <v>0</v>
      </c>
      <c r="F6" s="14">
        <v>0</v>
      </c>
      <c r="G6" s="14">
        <v>0</v>
      </c>
      <c r="H6" s="14">
        <v>0</v>
      </c>
      <c r="I6" s="14">
        <v>0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14">
        <v>0</v>
      </c>
      <c r="Q6" s="14">
        <v>0</v>
      </c>
      <c r="R6" s="14">
        <v>0</v>
      </c>
      <c r="S6" s="14">
        <v>0</v>
      </c>
      <c r="T6" s="14">
        <v>0</v>
      </c>
      <c r="U6" s="14">
        <v>0</v>
      </c>
      <c r="V6" s="14"/>
      <c r="W6" s="14">
        <f t="shared" si="0"/>
        <v>0</v>
      </c>
      <c r="X6" s="35">
        <f>W6-'RZiS 31.12.2018'!D11</f>
        <v>0</v>
      </c>
    </row>
    <row r="7" spans="1:24" s="7" customFormat="1" ht="21">
      <c r="A7" s="12" t="s">
        <v>126</v>
      </c>
      <c r="B7" s="13" t="s">
        <v>365</v>
      </c>
      <c r="C7" s="14">
        <v>0</v>
      </c>
      <c r="D7" s="14">
        <v>0</v>
      </c>
      <c r="E7" s="14"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14">
        <v>0</v>
      </c>
      <c r="Q7" s="14">
        <v>0</v>
      </c>
      <c r="R7" s="14">
        <v>0</v>
      </c>
      <c r="S7" s="14">
        <v>0</v>
      </c>
      <c r="T7" s="14">
        <v>0</v>
      </c>
      <c r="U7" s="14">
        <v>0</v>
      </c>
      <c r="V7" s="14"/>
      <c r="W7" s="14">
        <f t="shared" si="0"/>
        <v>0</v>
      </c>
      <c r="X7" s="35">
        <f>W7-'RZiS 31.12.2018'!D12</f>
        <v>0</v>
      </c>
    </row>
    <row r="8" spans="1:24" s="7" customFormat="1" ht="21">
      <c r="A8" s="12" t="s">
        <v>131</v>
      </c>
      <c r="B8" s="13" t="s">
        <v>366</v>
      </c>
      <c r="C8" s="14">
        <v>0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14">
        <v>0</v>
      </c>
      <c r="Q8" s="14">
        <v>0</v>
      </c>
      <c r="R8" s="14">
        <v>0</v>
      </c>
      <c r="S8" s="14">
        <v>0</v>
      </c>
      <c r="T8" s="14">
        <v>0</v>
      </c>
      <c r="U8" s="14">
        <v>0</v>
      </c>
      <c r="V8" s="14"/>
      <c r="W8" s="14">
        <f t="shared" si="0"/>
        <v>0</v>
      </c>
      <c r="X8" s="35">
        <f>W8-'RZiS 31.12.2018'!D13</f>
        <v>0</v>
      </c>
    </row>
    <row r="9" spans="1:24" s="7" customFormat="1" ht="10.5">
      <c r="A9" s="12" t="s">
        <v>133</v>
      </c>
      <c r="B9" s="13" t="s">
        <v>367</v>
      </c>
      <c r="C9" s="14">
        <v>12900691253.82</v>
      </c>
      <c r="D9" s="14">
        <v>45224730.619999997</v>
      </c>
      <c r="E9" s="14">
        <v>53783238.140000001</v>
      </c>
      <c r="F9" s="14">
        <v>41840800.380000003</v>
      </c>
      <c r="G9" s="14">
        <v>101926729.14</v>
      </c>
      <c r="H9" s="14">
        <v>36607158.210000001</v>
      </c>
      <c r="I9" s="14">
        <v>38948059.579999998</v>
      </c>
      <c r="J9" s="14">
        <v>16758885.779999999</v>
      </c>
      <c r="K9" s="14">
        <v>8231009.0700000003</v>
      </c>
      <c r="L9" s="14">
        <v>75805942.920000002</v>
      </c>
      <c r="M9" s="14">
        <v>36589237.979999997</v>
      </c>
      <c r="N9" s="14">
        <v>18359288.879999999</v>
      </c>
      <c r="O9" s="14">
        <v>43057531.140000001</v>
      </c>
      <c r="P9" s="14">
        <v>29310820.420000002</v>
      </c>
      <c r="Q9" s="14">
        <v>6515262.4299999997</v>
      </c>
      <c r="R9" s="14">
        <v>17771572.960000001</v>
      </c>
      <c r="S9" s="14">
        <v>55198841.880000003</v>
      </c>
      <c r="T9" s="14">
        <v>129102682.03</v>
      </c>
      <c r="U9" s="14">
        <v>11534854.09</v>
      </c>
      <c r="V9" s="14">
        <f>-[2]Razem_Z3!$E$69</f>
        <v>-4948177.6500000004</v>
      </c>
      <c r="W9" s="14">
        <f t="shared" si="0"/>
        <v>13662309721.819996</v>
      </c>
      <c r="X9" s="35">
        <f>W9-'RZiS 31.12.2018'!D14</f>
        <v>0</v>
      </c>
    </row>
    <row r="10" spans="1:24" s="11" customFormat="1" ht="10.5">
      <c r="A10" s="8" t="s">
        <v>135</v>
      </c>
      <c r="B10" s="9" t="s">
        <v>368</v>
      </c>
      <c r="C10" s="10">
        <v>1106402233.6800001</v>
      </c>
      <c r="D10" s="10">
        <v>140562728.19999999</v>
      </c>
      <c r="E10" s="10">
        <v>175270576</v>
      </c>
      <c r="F10" s="10">
        <v>142468371.84999999</v>
      </c>
      <c r="G10" s="10">
        <v>196608960.27000001</v>
      </c>
      <c r="H10" s="10">
        <v>92635516.730000004</v>
      </c>
      <c r="I10" s="10">
        <v>192611121.30000001</v>
      </c>
      <c r="J10" s="10">
        <v>83661812.920000002</v>
      </c>
      <c r="K10" s="10">
        <v>51397394.590000004</v>
      </c>
      <c r="L10" s="10">
        <v>112623201.13</v>
      </c>
      <c r="M10" s="10">
        <v>147318300.40000001</v>
      </c>
      <c r="N10" s="10">
        <v>102585608.38</v>
      </c>
      <c r="O10" s="10">
        <v>173405800.94999999</v>
      </c>
      <c r="P10" s="10">
        <v>107876064.73999999</v>
      </c>
      <c r="Q10" s="10">
        <v>48345660.909999996</v>
      </c>
      <c r="R10" s="10">
        <v>77168326.090000004</v>
      </c>
      <c r="S10" s="10">
        <v>63334246.420000002</v>
      </c>
      <c r="T10" s="10">
        <v>141856403.77000001</v>
      </c>
      <c r="U10" s="10">
        <v>60975145.719999999</v>
      </c>
      <c r="V10" s="10">
        <f>SUM(V11:V20)</f>
        <v>-4958813.8199999994</v>
      </c>
      <c r="W10" s="10">
        <f>SUM(W11:W20)</f>
        <v>3212148660.23</v>
      </c>
      <c r="X10" s="35">
        <f>W10-'RZiS 31.12.2018'!D15</f>
        <v>0</v>
      </c>
    </row>
    <row r="11" spans="1:24" s="7" customFormat="1" ht="10.5">
      <c r="A11" s="12" t="s">
        <v>105</v>
      </c>
      <c r="B11" s="13" t="s">
        <v>369</v>
      </c>
      <c r="C11" s="14">
        <v>23720688.52</v>
      </c>
      <c r="D11" s="14">
        <v>9999007.5</v>
      </c>
      <c r="E11" s="14">
        <v>13449032.130000001</v>
      </c>
      <c r="F11" s="14">
        <v>8607191.1999999993</v>
      </c>
      <c r="G11" s="14">
        <v>4751799.71</v>
      </c>
      <c r="H11" s="14">
        <v>7521566.0999999996</v>
      </c>
      <c r="I11" s="14">
        <v>11620537.74</v>
      </c>
      <c r="J11" s="14">
        <v>1931971.43</v>
      </c>
      <c r="K11" s="14">
        <v>5057422.88</v>
      </c>
      <c r="L11" s="14">
        <v>822758.85</v>
      </c>
      <c r="M11" s="14">
        <v>6304172.8700000001</v>
      </c>
      <c r="N11" s="14">
        <v>8776004.1799999997</v>
      </c>
      <c r="O11" s="14">
        <v>12497371.33</v>
      </c>
      <c r="P11" s="14">
        <v>6925351.9900000002</v>
      </c>
      <c r="Q11" s="14">
        <v>8702430.25</v>
      </c>
      <c r="R11" s="14">
        <v>7523228.4199999999</v>
      </c>
      <c r="S11" s="14">
        <v>5887318.7000000002</v>
      </c>
      <c r="T11" s="14">
        <v>5099859.4800000004</v>
      </c>
      <c r="U11" s="14">
        <v>3093691.58</v>
      </c>
      <c r="V11" s="14"/>
      <c r="W11" s="14">
        <f t="shared" ref="W11:W20" si="1">SUM(C11:V11)</f>
        <v>152291404.85999995</v>
      </c>
      <c r="X11" s="35">
        <f>W11-'RZiS 31.12.2018'!D16</f>
        <v>0</v>
      </c>
    </row>
    <row r="12" spans="1:24" s="7" customFormat="1" ht="10.5">
      <c r="A12" s="12" t="s">
        <v>107</v>
      </c>
      <c r="B12" s="13" t="s">
        <v>370</v>
      </c>
      <c r="C12" s="14">
        <v>21573571.690000001</v>
      </c>
      <c r="D12" s="14">
        <v>2975293</v>
      </c>
      <c r="E12" s="14">
        <v>1404674.99</v>
      </c>
      <c r="F12" s="14">
        <v>2005225.9</v>
      </c>
      <c r="G12" s="14">
        <v>2042193.65</v>
      </c>
      <c r="H12" s="14">
        <v>1449578.79</v>
      </c>
      <c r="I12" s="14">
        <v>2055297.8</v>
      </c>
      <c r="J12" s="14">
        <v>944823.15</v>
      </c>
      <c r="K12" s="14">
        <v>1130814.3600000001</v>
      </c>
      <c r="L12" s="14">
        <v>1802595.4</v>
      </c>
      <c r="M12" s="14">
        <v>2572197.02</v>
      </c>
      <c r="N12" s="14">
        <v>3866394.27</v>
      </c>
      <c r="O12" s="14">
        <v>4141360.95</v>
      </c>
      <c r="P12" s="14">
        <v>1559579.71</v>
      </c>
      <c r="Q12" s="14">
        <v>730921.55</v>
      </c>
      <c r="R12" s="14">
        <v>1905624.69</v>
      </c>
      <c r="S12" s="14">
        <v>929523.38</v>
      </c>
      <c r="T12" s="14">
        <v>1786974.38</v>
      </c>
      <c r="U12" s="14">
        <v>1278653.18</v>
      </c>
      <c r="V12" s="14"/>
      <c r="W12" s="14">
        <f t="shared" si="1"/>
        <v>56155297.860000007</v>
      </c>
      <c r="X12" s="35">
        <f>W12-'RZiS 31.12.2018'!D17</f>
        <v>0</v>
      </c>
    </row>
    <row r="13" spans="1:24" s="7" customFormat="1" ht="10.5">
      <c r="A13" s="12" t="s">
        <v>124</v>
      </c>
      <c r="B13" s="13" t="s">
        <v>371</v>
      </c>
      <c r="C13" s="14">
        <v>556324404.35000002</v>
      </c>
      <c r="D13" s="14">
        <v>19815669.329999998</v>
      </c>
      <c r="E13" s="14">
        <v>21453999.57</v>
      </c>
      <c r="F13" s="14">
        <v>22727358.030000001</v>
      </c>
      <c r="G13" s="14">
        <v>27382663.309999999</v>
      </c>
      <c r="H13" s="14">
        <v>18895757.280000001</v>
      </c>
      <c r="I13" s="14">
        <v>31243852.460000001</v>
      </c>
      <c r="J13" s="14">
        <v>9911364.1099999994</v>
      </c>
      <c r="K13" s="14">
        <v>11376689.630000001</v>
      </c>
      <c r="L13" s="14">
        <v>22815554.149999999</v>
      </c>
      <c r="M13" s="14">
        <v>23081684.829999998</v>
      </c>
      <c r="N13" s="14">
        <v>21934037.879999999</v>
      </c>
      <c r="O13" s="14">
        <v>33608641.530000001</v>
      </c>
      <c r="P13" s="14">
        <v>15754174.529999999</v>
      </c>
      <c r="Q13" s="14">
        <v>7465068.2599999998</v>
      </c>
      <c r="R13" s="14">
        <v>19453938.510000002</v>
      </c>
      <c r="S13" s="14">
        <v>9410111.8100000005</v>
      </c>
      <c r="T13" s="14">
        <v>16823641.969999999</v>
      </c>
      <c r="U13" s="14">
        <v>8680985.6500000004</v>
      </c>
      <c r="V13" s="14">
        <f>-[2]Razem_Z3!$E$73</f>
        <v>-21934.799999999999</v>
      </c>
      <c r="W13" s="14">
        <f t="shared" si="1"/>
        <v>898137662.38999999</v>
      </c>
      <c r="X13" s="35">
        <f>W13-'RZiS 31.12.2018'!D18</f>
        <v>0</v>
      </c>
    </row>
    <row r="14" spans="1:24" s="7" customFormat="1" ht="10.5">
      <c r="A14" s="12" t="s">
        <v>126</v>
      </c>
      <c r="B14" s="13" t="s">
        <v>372</v>
      </c>
      <c r="C14" s="14">
        <v>10686002.42</v>
      </c>
      <c r="D14" s="14">
        <v>988587.36</v>
      </c>
      <c r="E14" s="14">
        <v>99426.94</v>
      </c>
      <c r="F14" s="14">
        <v>46213.7</v>
      </c>
      <c r="G14" s="14">
        <v>69610.44</v>
      </c>
      <c r="H14" s="14">
        <v>84056.63</v>
      </c>
      <c r="I14" s="14">
        <v>5484502.7000000002</v>
      </c>
      <c r="J14" s="14">
        <v>30904.59</v>
      </c>
      <c r="K14" s="14">
        <v>106972.88</v>
      </c>
      <c r="L14" s="14">
        <v>236824.88</v>
      </c>
      <c r="M14" s="14">
        <v>508933.91</v>
      </c>
      <c r="N14" s="14">
        <v>877925.85</v>
      </c>
      <c r="O14" s="14">
        <v>886940.55</v>
      </c>
      <c r="P14" s="14">
        <v>122182.39999999999</v>
      </c>
      <c r="Q14" s="14">
        <v>173960.53</v>
      </c>
      <c r="R14" s="14">
        <v>668692.6</v>
      </c>
      <c r="S14" s="14">
        <v>118785.01</v>
      </c>
      <c r="T14" s="14">
        <v>1157323.69</v>
      </c>
      <c r="U14" s="14">
        <v>287980.5</v>
      </c>
      <c r="V14" s="14">
        <f>-[2]Razem_Z3!$E$74</f>
        <v>-4929101.3999999994</v>
      </c>
      <c r="W14" s="14">
        <f t="shared" si="1"/>
        <v>17706726.180000003</v>
      </c>
      <c r="X14" s="35">
        <f>W14-'RZiS 31.12.2018'!D19</f>
        <v>0</v>
      </c>
    </row>
    <row r="15" spans="1:24" s="7" customFormat="1" ht="10.5">
      <c r="A15" s="12" t="s">
        <v>131</v>
      </c>
      <c r="B15" s="13" t="s">
        <v>373</v>
      </c>
      <c r="C15" s="14">
        <v>373948223.52999997</v>
      </c>
      <c r="D15" s="14">
        <v>26337933.93</v>
      </c>
      <c r="E15" s="14">
        <v>27068540.850000001</v>
      </c>
      <c r="F15" s="14">
        <v>23551720.170000002</v>
      </c>
      <c r="G15" s="14">
        <v>43552619.090000004</v>
      </c>
      <c r="H15" s="14">
        <v>18400528.149999999</v>
      </c>
      <c r="I15" s="14">
        <v>27393185.760000002</v>
      </c>
      <c r="J15" s="14">
        <v>18714458.260000002</v>
      </c>
      <c r="K15" s="14">
        <v>11903249.109999999</v>
      </c>
      <c r="L15" s="14">
        <v>30438887.32</v>
      </c>
      <c r="M15" s="14">
        <v>23931940.190000001</v>
      </c>
      <c r="N15" s="14">
        <v>18092496.23</v>
      </c>
      <c r="O15" s="14">
        <v>27537131.52</v>
      </c>
      <c r="P15" s="14">
        <v>19296965.850000001</v>
      </c>
      <c r="Q15" s="14">
        <v>8954615.4100000001</v>
      </c>
      <c r="R15" s="14">
        <v>12065444.27</v>
      </c>
      <c r="S15" s="14">
        <v>14510464.949999999</v>
      </c>
      <c r="T15" s="14">
        <v>29392302.710000001</v>
      </c>
      <c r="U15" s="14">
        <v>15578318.640000001</v>
      </c>
      <c r="V15" s="14"/>
      <c r="W15" s="14">
        <f t="shared" si="1"/>
        <v>770669025.94000018</v>
      </c>
      <c r="X15" s="35">
        <f>W15-'RZiS 31.12.2018'!D20</f>
        <v>0</v>
      </c>
    </row>
    <row r="16" spans="1:24" s="7" customFormat="1" ht="21">
      <c r="A16" s="12" t="s">
        <v>133</v>
      </c>
      <c r="B16" s="13" t="s">
        <v>374</v>
      </c>
      <c r="C16" s="14">
        <v>78403253.170000002</v>
      </c>
      <c r="D16" s="14">
        <v>4621179.6500000004</v>
      </c>
      <c r="E16" s="14">
        <v>4795431.2699999996</v>
      </c>
      <c r="F16" s="14">
        <v>4169316.41</v>
      </c>
      <c r="G16" s="14">
        <v>7773525.3399999999</v>
      </c>
      <c r="H16" s="14">
        <v>3928035</v>
      </c>
      <c r="I16" s="14">
        <v>4801649.21</v>
      </c>
      <c r="J16" s="14">
        <v>3361172.14</v>
      </c>
      <c r="K16" s="14">
        <v>2104689.7799999998</v>
      </c>
      <c r="L16" s="14">
        <v>5280100.38</v>
      </c>
      <c r="M16" s="14">
        <v>4146996.8</v>
      </c>
      <c r="N16" s="14">
        <v>3079999.71</v>
      </c>
      <c r="O16" s="14">
        <v>5898148.3099999996</v>
      </c>
      <c r="P16" s="14">
        <v>3400929.73</v>
      </c>
      <c r="Q16" s="14">
        <v>1584707.35</v>
      </c>
      <c r="R16" s="14">
        <v>2168409.11</v>
      </c>
      <c r="S16" s="14">
        <v>2546282.92</v>
      </c>
      <c r="T16" s="14">
        <v>6383187.4000000004</v>
      </c>
      <c r="U16" s="14">
        <v>2982357.44</v>
      </c>
      <c r="V16" s="14"/>
      <c r="W16" s="14">
        <f t="shared" si="1"/>
        <v>151429371.11999997</v>
      </c>
      <c r="X16" s="35">
        <f>W16-'RZiS 31.12.2018'!D21</f>
        <v>0</v>
      </c>
    </row>
    <row r="17" spans="1:24" s="7" customFormat="1" ht="10.5">
      <c r="A17" s="12" t="s">
        <v>375</v>
      </c>
      <c r="B17" s="13" t="s">
        <v>376</v>
      </c>
      <c r="C17" s="14">
        <v>17047651.280000001</v>
      </c>
      <c r="D17" s="14">
        <v>373521.61</v>
      </c>
      <c r="E17" s="14">
        <v>850036.49</v>
      </c>
      <c r="F17" s="14">
        <v>91154</v>
      </c>
      <c r="G17" s="14">
        <v>265293.86</v>
      </c>
      <c r="H17" s="14">
        <v>1426349.41</v>
      </c>
      <c r="I17" s="14">
        <v>119411.4</v>
      </c>
      <c r="J17" s="14">
        <v>203828.85</v>
      </c>
      <c r="K17" s="14">
        <v>147098.32</v>
      </c>
      <c r="L17" s="14">
        <v>0</v>
      </c>
      <c r="M17" s="14">
        <v>2310265.35</v>
      </c>
      <c r="N17" s="14">
        <v>106432.89</v>
      </c>
      <c r="O17" s="14">
        <v>110854.36</v>
      </c>
      <c r="P17" s="14">
        <v>103389.61</v>
      </c>
      <c r="Q17" s="14">
        <v>354382.25</v>
      </c>
      <c r="R17" s="14">
        <v>100672.38</v>
      </c>
      <c r="S17" s="14">
        <v>583731.38</v>
      </c>
      <c r="T17" s="14">
        <v>100340.4</v>
      </c>
      <c r="U17" s="14">
        <v>128200.69</v>
      </c>
      <c r="V17" s="14"/>
      <c r="W17" s="14">
        <f t="shared" si="1"/>
        <v>24422614.529999997</v>
      </c>
      <c r="X17" s="35">
        <f>W17-'RZiS 31.12.2018'!D22</f>
        <v>0</v>
      </c>
    </row>
    <row r="18" spans="1:24" s="7" customFormat="1" ht="10.5">
      <c r="A18" s="12" t="s">
        <v>377</v>
      </c>
      <c r="B18" s="13" t="s">
        <v>378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4">
        <v>0</v>
      </c>
      <c r="Q18" s="14">
        <v>0</v>
      </c>
      <c r="R18" s="14">
        <v>0</v>
      </c>
      <c r="S18" s="14">
        <v>0</v>
      </c>
      <c r="T18" s="14">
        <v>0</v>
      </c>
      <c r="U18" s="14">
        <v>0</v>
      </c>
      <c r="V18" s="14"/>
      <c r="W18" s="14">
        <f t="shared" si="1"/>
        <v>0</v>
      </c>
      <c r="X18" s="35">
        <f>W18-'RZiS 31.12.2018'!D23</f>
        <v>0</v>
      </c>
    </row>
    <row r="19" spans="1:24" s="7" customFormat="1" ht="10.5">
      <c r="A19" s="12" t="s">
        <v>379</v>
      </c>
      <c r="B19" s="13" t="s">
        <v>402</v>
      </c>
      <c r="C19" s="14">
        <v>24698438.719999999</v>
      </c>
      <c r="D19" s="14">
        <v>75451535.819999993</v>
      </c>
      <c r="E19" s="14">
        <v>106149433.76000001</v>
      </c>
      <c r="F19" s="14">
        <v>81270192.439999998</v>
      </c>
      <c r="G19" s="14">
        <v>110771254.87</v>
      </c>
      <c r="H19" s="14">
        <v>40929645.369999997</v>
      </c>
      <c r="I19" s="14">
        <v>109892684.23</v>
      </c>
      <c r="J19" s="14">
        <v>48563290.390000001</v>
      </c>
      <c r="K19" s="14">
        <v>19570457.629999999</v>
      </c>
      <c r="L19" s="14">
        <v>51226480.149999999</v>
      </c>
      <c r="M19" s="14">
        <v>84462109.430000007</v>
      </c>
      <c r="N19" s="14">
        <v>45851933.049999997</v>
      </c>
      <c r="O19" s="14">
        <v>88725352.400000006</v>
      </c>
      <c r="P19" s="14">
        <v>60713490.920000002</v>
      </c>
      <c r="Q19" s="14">
        <v>20379575.309999999</v>
      </c>
      <c r="R19" s="14">
        <v>33282316.109999999</v>
      </c>
      <c r="S19" s="14">
        <v>29348028.27</v>
      </c>
      <c r="T19" s="14">
        <v>81112773.739999995</v>
      </c>
      <c r="U19" s="14">
        <v>28944958.039999999</v>
      </c>
      <c r="V19" s="14">
        <f>-[2]Razem_Z3!$E$79</f>
        <v>-7777.62</v>
      </c>
      <c r="W19" s="14">
        <f t="shared" si="1"/>
        <v>1141336173.0299997</v>
      </c>
      <c r="X19" s="35">
        <f>W19-'RZiS 31.12.2018'!D24</f>
        <v>0</v>
      </c>
    </row>
    <row r="20" spans="1:24" s="7" customFormat="1" ht="10.5">
      <c r="A20" s="12" t="s">
        <v>380</v>
      </c>
      <c r="B20" s="13" t="s">
        <v>381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384.32</v>
      </c>
      <c r="O20" s="14">
        <v>0</v>
      </c>
      <c r="P20" s="14">
        <v>0</v>
      </c>
      <c r="Q20" s="14">
        <v>0</v>
      </c>
      <c r="R20" s="14">
        <v>0</v>
      </c>
      <c r="S20" s="14">
        <v>0</v>
      </c>
      <c r="T20" s="14">
        <v>0</v>
      </c>
      <c r="U20" s="14">
        <v>0</v>
      </c>
      <c r="V20" s="14"/>
      <c r="W20" s="14">
        <f t="shared" si="1"/>
        <v>384.32</v>
      </c>
      <c r="X20" s="35">
        <f>W20-'RZiS 31.12.2018'!D25</f>
        <v>0</v>
      </c>
    </row>
    <row r="21" spans="1:24" s="11" customFormat="1" ht="21">
      <c r="A21" s="8" t="s">
        <v>173</v>
      </c>
      <c r="B21" s="9" t="s">
        <v>403</v>
      </c>
      <c r="C21" s="10">
        <v>11798992458.200001</v>
      </c>
      <c r="D21" s="10">
        <v>-83758006.879999995</v>
      </c>
      <c r="E21" s="10">
        <v>-101662725.68000001</v>
      </c>
      <c r="F21" s="10">
        <v>-93477370.310000002</v>
      </c>
      <c r="G21" s="10">
        <v>37974817.270000003</v>
      </c>
      <c r="H21" s="10">
        <v>-6804533.1399999997</v>
      </c>
      <c r="I21" s="10">
        <v>-101711516.17</v>
      </c>
      <c r="J21" s="10">
        <v>-56965673.409999996</v>
      </c>
      <c r="K21" s="10">
        <v>-38709237.82</v>
      </c>
      <c r="L21" s="10">
        <v>106123492.02</v>
      </c>
      <c r="M21" s="10">
        <v>-79778239.730000004</v>
      </c>
      <c r="N21" s="10">
        <v>-74536043.5</v>
      </c>
      <c r="O21" s="10">
        <v>-68547321.430000007</v>
      </c>
      <c r="P21" s="10">
        <v>-73122912.079999998</v>
      </c>
      <c r="Q21" s="10">
        <v>-40846948.960000001</v>
      </c>
      <c r="R21" s="10">
        <v>-53208289.450000003</v>
      </c>
      <c r="S21" s="10">
        <v>1978122.47</v>
      </c>
      <c r="T21" s="10">
        <v>5508873.5199999996</v>
      </c>
      <c r="U21" s="10">
        <v>-21924824.859999999</v>
      </c>
      <c r="V21" s="10">
        <f>V3-V10</f>
        <v>2858.5499999988824</v>
      </c>
      <c r="W21" s="10">
        <f>W3-W10</f>
        <v>11055526978.609997</v>
      </c>
      <c r="X21" s="35">
        <f>W21-'RZiS 31.12.2018'!D26</f>
        <v>0</v>
      </c>
    </row>
    <row r="22" spans="1:24" s="11" customFormat="1" ht="10.5">
      <c r="A22" s="8" t="s">
        <v>185</v>
      </c>
      <c r="B22" s="9" t="s">
        <v>382</v>
      </c>
      <c r="C22" s="10">
        <v>780599909.63</v>
      </c>
      <c r="D22" s="10">
        <v>1764152.66</v>
      </c>
      <c r="E22" s="10">
        <v>5935823.3499999996</v>
      </c>
      <c r="F22" s="10">
        <v>7944167.0899999999</v>
      </c>
      <c r="G22" s="10">
        <v>94613076.510000005</v>
      </c>
      <c r="H22" s="10">
        <v>10734710.390000001</v>
      </c>
      <c r="I22" s="10">
        <v>14757092.76</v>
      </c>
      <c r="J22" s="10">
        <v>29394670.120000001</v>
      </c>
      <c r="K22" s="10">
        <v>6034600.9400000004</v>
      </c>
      <c r="L22" s="10">
        <v>18830475.219999999</v>
      </c>
      <c r="M22" s="10">
        <v>13504207.710000001</v>
      </c>
      <c r="N22" s="10">
        <v>1429147.66</v>
      </c>
      <c r="O22" s="10">
        <v>173389862.74000001</v>
      </c>
      <c r="P22" s="10">
        <v>16494510.310000001</v>
      </c>
      <c r="Q22" s="10">
        <v>1636602.8</v>
      </c>
      <c r="R22" s="10">
        <v>9752543.6899999995</v>
      </c>
      <c r="S22" s="10">
        <v>2367737.5699999998</v>
      </c>
      <c r="T22" s="10">
        <v>123313289.75</v>
      </c>
      <c r="U22" s="10">
        <v>11343061.33</v>
      </c>
      <c r="V22" s="10">
        <f>SUM(V23:V25)</f>
        <v>-2858.55</v>
      </c>
      <c r="W22" s="10">
        <f>SUM(W23:W25)</f>
        <v>1323836783.6799998</v>
      </c>
      <c r="X22" s="35">
        <f>W22-'RZiS 31.12.2018'!D27</f>
        <v>0</v>
      </c>
    </row>
    <row r="23" spans="1:24" s="7" customFormat="1" ht="21">
      <c r="A23" s="12" t="s">
        <v>105</v>
      </c>
      <c r="B23" s="13" t="s">
        <v>383</v>
      </c>
      <c r="C23" s="14">
        <v>19375999.350000001</v>
      </c>
      <c r="D23" s="14">
        <v>184064.87</v>
      </c>
      <c r="E23" s="14">
        <v>2115410.9500000002</v>
      </c>
      <c r="F23" s="14">
        <v>5369566.0099999998</v>
      </c>
      <c r="G23" s="14">
        <v>11094690.859999999</v>
      </c>
      <c r="H23" s="14">
        <v>0</v>
      </c>
      <c r="I23" s="14">
        <v>6870947.7300000004</v>
      </c>
      <c r="J23" s="14">
        <v>1514517.87</v>
      </c>
      <c r="K23" s="14">
        <v>1005486.12</v>
      </c>
      <c r="L23" s="14">
        <v>15204858.23</v>
      </c>
      <c r="M23" s="14">
        <v>5207226.72</v>
      </c>
      <c r="N23" s="14">
        <v>889186.56</v>
      </c>
      <c r="O23" s="14">
        <v>1897901.36</v>
      </c>
      <c r="P23" s="14">
        <v>1584528.71</v>
      </c>
      <c r="Q23" s="14">
        <v>23291.53</v>
      </c>
      <c r="R23" s="14">
        <v>1433681.12</v>
      </c>
      <c r="S23" s="14">
        <v>169515.8</v>
      </c>
      <c r="T23" s="14">
        <v>240262.27</v>
      </c>
      <c r="U23" s="14">
        <v>276843.3</v>
      </c>
      <c r="V23" s="14"/>
      <c r="W23" s="14">
        <f>SUM(C23:V23)</f>
        <v>74457979.359999985</v>
      </c>
      <c r="X23" s="35">
        <f>W23-'RZiS 31.12.2018'!D28</f>
        <v>0</v>
      </c>
    </row>
    <row r="24" spans="1:24" s="7" customFormat="1" ht="10.5">
      <c r="A24" s="12" t="s">
        <v>107</v>
      </c>
      <c r="B24" s="13" t="s">
        <v>384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2074.73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  <c r="V24" s="14"/>
      <c r="W24" s="14">
        <f>SUM(C24:V24)</f>
        <v>2074.73</v>
      </c>
      <c r="X24" s="35">
        <f>W24-'RZiS 31.12.2018'!D29</f>
        <v>0</v>
      </c>
    </row>
    <row r="25" spans="1:24" s="7" customFormat="1" ht="10.5">
      <c r="A25" s="12" t="s">
        <v>124</v>
      </c>
      <c r="B25" s="13" t="s">
        <v>385</v>
      </c>
      <c r="C25" s="14">
        <v>761223910.27999997</v>
      </c>
      <c r="D25" s="14">
        <v>1580087.79</v>
      </c>
      <c r="E25" s="14">
        <v>3820412.4</v>
      </c>
      <c r="F25" s="14">
        <v>2574601.08</v>
      </c>
      <c r="G25" s="14">
        <v>83518385.650000006</v>
      </c>
      <c r="H25" s="14">
        <v>10734710.390000001</v>
      </c>
      <c r="I25" s="14">
        <v>7886145.0300000003</v>
      </c>
      <c r="J25" s="14">
        <v>27880152.25</v>
      </c>
      <c r="K25" s="14">
        <v>5027040.09</v>
      </c>
      <c r="L25" s="14">
        <v>3625616.99</v>
      </c>
      <c r="M25" s="14">
        <v>8296980.9900000002</v>
      </c>
      <c r="N25" s="14">
        <v>539961.1</v>
      </c>
      <c r="O25" s="14">
        <v>171491961.38</v>
      </c>
      <c r="P25" s="14">
        <v>14909981.6</v>
      </c>
      <c r="Q25" s="14">
        <v>1613311.27</v>
      </c>
      <c r="R25" s="14">
        <v>8318862.5700000003</v>
      </c>
      <c r="S25" s="14">
        <v>2198221.77</v>
      </c>
      <c r="T25" s="14">
        <v>123073027.48</v>
      </c>
      <c r="U25" s="14">
        <v>11066218.029999999</v>
      </c>
      <c r="V25" s="14">
        <f>-[2]Razem_Z3!$E$82</f>
        <v>-2858.55</v>
      </c>
      <c r="W25" s="14">
        <f>SUM(C25:V25)</f>
        <v>1249376729.5899999</v>
      </c>
      <c r="X25" s="35">
        <f>W25-'RZiS 31.12.2018'!D30</f>
        <v>0</v>
      </c>
    </row>
    <row r="26" spans="1:24" s="11" customFormat="1" ht="10.5">
      <c r="A26" s="8" t="s">
        <v>189</v>
      </c>
      <c r="B26" s="9" t="s">
        <v>386</v>
      </c>
      <c r="C26" s="10">
        <v>194621276.69999999</v>
      </c>
      <c r="D26" s="10">
        <v>5035983.12</v>
      </c>
      <c r="E26" s="10">
        <v>15239924.17</v>
      </c>
      <c r="F26" s="10">
        <v>1552853.44</v>
      </c>
      <c r="G26" s="10">
        <v>28404989.579999998</v>
      </c>
      <c r="H26" s="10">
        <v>194871796.69999999</v>
      </c>
      <c r="I26" s="10">
        <v>9309914.7799999993</v>
      </c>
      <c r="J26" s="10">
        <v>13833698</v>
      </c>
      <c r="K26" s="10">
        <v>4334321.7699999996</v>
      </c>
      <c r="L26" s="10">
        <v>19956538.27</v>
      </c>
      <c r="M26" s="10">
        <v>9007250.2400000002</v>
      </c>
      <c r="N26" s="10">
        <v>4574884.87</v>
      </c>
      <c r="O26" s="10">
        <v>156228283.44999999</v>
      </c>
      <c r="P26" s="10">
        <v>6669081.1100000003</v>
      </c>
      <c r="Q26" s="10">
        <v>1545062.07</v>
      </c>
      <c r="R26" s="10">
        <v>6113310.3099999996</v>
      </c>
      <c r="S26" s="10">
        <v>4222419.5599999996</v>
      </c>
      <c r="T26" s="10">
        <v>114601057.59999999</v>
      </c>
      <c r="U26" s="10">
        <v>10259162.560000001</v>
      </c>
      <c r="V26" s="10">
        <f>SUM(V27:V28)</f>
        <v>0</v>
      </c>
      <c r="W26" s="10">
        <f>SUM(W27:W28)</f>
        <v>800381808.29999983</v>
      </c>
      <c r="X26" s="35">
        <f>W26-'RZiS 31.12.2018'!D31</f>
        <v>0</v>
      </c>
    </row>
    <row r="27" spans="1:24" s="7" customFormat="1" ht="52.5">
      <c r="A27" s="12" t="s">
        <v>105</v>
      </c>
      <c r="B27" s="13" t="s">
        <v>387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  <c r="S27" s="14">
        <v>0</v>
      </c>
      <c r="T27" s="14">
        <v>0</v>
      </c>
      <c r="U27" s="14">
        <v>0</v>
      </c>
      <c r="V27" s="14"/>
      <c r="W27" s="14">
        <f>SUM(C27:V27)</f>
        <v>0</v>
      </c>
      <c r="X27" s="35">
        <f>W27-'RZiS 31.12.2018'!D32</f>
        <v>0</v>
      </c>
    </row>
    <row r="28" spans="1:24" s="7" customFormat="1" ht="10.5">
      <c r="A28" s="12" t="s">
        <v>107</v>
      </c>
      <c r="B28" s="13" t="s">
        <v>386</v>
      </c>
      <c r="C28" s="14">
        <v>194621276.69999999</v>
      </c>
      <c r="D28" s="14">
        <v>5035983.12</v>
      </c>
      <c r="E28" s="14">
        <v>15239924.17</v>
      </c>
      <c r="F28" s="14">
        <v>1552853.44</v>
      </c>
      <c r="G28" s="14">
        <v>28404989.579999998</v>
      </c>
      <c r="H28" s="14">
        <v>194871796.69999999</v>
      </c>
      <c r="I28" s="14">
        <v>9309914.7799999993</v>
      </c>
      <c r="J28" s="14">
        <v>13833698</v>
      </c>
      <c r="K28" s="14">
        <v>4334321.7699999996</v>
      </c>
      <c r="L28" s="14">
        <v>19956538.27</v>
      </c>
      <c r="M28" s="14">
        <v>9007250.2400000002</v>
      </c>
      <c r="N28" s="14">
        <v>4574884.87</v>
      </c>
      <c r="O28" s="14">
        <v>156228283.44999999</v>
      </c>
      <c r="P28" s="14">
        <v>6669081.1100000003</v>
      </c>
      <c r="Q28" s="14">
        <v>1545062.07</v>
      </c>
      <c r="R28" s="14">
        <v>6113310.3099999996</v>
      </c>
      <c r="S28" s="14">
        <v>4222419.5599999996</v>
      </c>
      <c r="T28" s="14">
        <v>114601057.59999999</v>
      </c>
      <c r="U28" s="14">
        <v>10259162.560000001</v>
      </c>
      <c r="V28" s="14"/>
      <c r="W28" s="14">
        <f>SUM(C28:V28)</f>
        <v>800381808.29999983</v>
      </c>
      <c r="X28" s="35">
        <f>W28-'RZiS 31.12.2018'!D33</f>
        <v>0</v>
      </c>
    </row>
    <row r="29" spans="1:24" s="11" customFormat="1" ht="21">
      <c r="A29" s="8" t="s">
        <v>388</v>
      </c>
      <c r="B29" s="9" t="s">
        <v>389</v>
      </c>
      <c r="C29" s="10">
        <v>12384971091.129999</v>
      </c>
      <c r="D29" s="10">
        <v>-87029837.340000004</v>
      </c>
      <c r="E29" s="10">
        <v>-110966826.5</v>
      </c>
      <c r="F29" s="10">
        <v>-87086056.659999996</v>
      </c>
      <c r="G29" s="10">
        <v>104182904.2</v>
      </c>
      <c r="H29" s="10">
        <v>-190941619.44999999</v>
      </c>
      <c r="I29" s="10">
        <v>-96264338.189999998</v>
      </c>
      <c r="J29" s="10">
        <v>-41404701.289999999</v>
      </c>
      <c r="K29" s="10">
        <v>-37008958.649999999</v>
      </c>
      <c r="L29" s="10">
        <v>104997428.97</v>
      </c>
      <c r="M29" s="10">
        <v>-75281282.260000005</v>
      </c>
      <c r="N29" s="10">
        <v>-77681780.709999993</v>
      </c>
      <c r="O29" s="10">
        <v>-51385742.140000001</v>
      </c>
      <c r="P29" s="10">
        <v>-63297482.880000003</v>
      </c>
      <c r="Q29" s="10">
        <v>-40755408.229999997</v>
      </c>
      <c r="R29" s="10">
        <v>-49569056.07</v>
      </c>
      <c r="S29" s="10">
        <v>123440.48</v>
      </c>
      <c r="T29" s="10">
        <v>14221105.67</v>
      </c>
      <c r="U29" s="10">
        <v>-20840926.09</v>
      </c>
      <c r="V29" s="10">
        <f>V21+V22-V26</f>
        <v>-1.1177689884789288E-9</v>
      </c>
      <c r="W29" s="10">
        <f>W21+W22-W26</f>
        <v>11578981953.989998</v>
      </c>
      <c r="X29" s="35">
        <f>W29-'RZiS 31.12.2018'!D34</f>
        <v>0</v>
      </c>
    </row>
    <row r="30" spans="1:24" s="11" customFormat="1" ht="10.5">
      <c r="A30" s="8" t="s">
        <v>390</v>
      </c>
      <c r="B30" s="9" t="s">
        <v>391</v>
      </c>
      <c r="C30" s="10">
        <v>388383863.42000002</v>
      </c>
      <c r="D30" s="10">
        <v>1132855.1100000001</v>
      </c>
      <c r="E30" s="10">
        <v>2363654.0099999998</v>
      </c>
      <c r="F30" s="10">
        <v>376237.97</v>
      </c>
      <c r="G30" s="10">
        <v>6156304.3200000003</v>
      </c>
      <c r="H30" s="10">
        <v>5091482.3499999996</v>
      </c>
      <c r="I30" s="10">
        <v>11296112.1</v>
      </c>
      <c r="J30" s="10">
        <v>2835670.04</v>
      </c>
      <c r="K30" s="10">
        <v>2661003.6</v>
      </c>
      <c r="L30" s="10">
        <v>3940779.99</v>
      </c>
      <c r="M30" s="10">
        <v>5830431.9900000002</v>
      </c>
      <c r="N30" s="10">
        <v>226612.22</v>
      </c>
      <c r="O30" s="10">
        <v>17751256.809999999</v>
      </c>
      <c r="P30" s="10">
        <v>462594.64</v>
      </c>
      <c r="Q30" s="10">
        <v>909299.81</v>
      </c>
      <c r="R30" s="10">
        <v>3018731.24</v>
      </c>
      <c r="S30" s="10">
        <v>1565222.31</v>
      </c>
      <c r="T30" s="10">
        <v>49288695.520000003</v>
      </c>
      <c r="U30" s="10">
        <v>286405.58</v>
      </c>
      <c r="V30" s="10">
        <f>SUM(V31:V33)</f>
        <v>-82</v>
      </c>
      <c r="W30" s="10">
        <f>SUM(W31:W33)</f>
        <v>503577131.02999997</v>
      </c>
      <c r="X30" s="35">
        <f>W30-'RZiS 31.12.2018'!D35</f>
        <v>0</v>
      </c>
    </row>
    <row r="31" spans="1:24" s="7" customFormat="1" ht="10.5">
      <c r="A31" s="12" t="s">
        <v>105</v>
      </c>
      <c r="B31" s="13" t="s">
        <v>392</v>
      </c>
      <c r="C31" s="14">
        <v>281570024.23000002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  <c r="S31" s="14">
        <v>0</v>
      </c>
      <c r="T31" s="14">
        <v>0</v>
      </c>
      <c r="U31" s="14">
        <v>0</v>
      </c>
      <c r="V31" s="14"/>
      <c r="W31" s="14">
        <f t="shared" ref="W31:W39" si="2">SUM(C31:V31)</f>
        <v>281570024.23000002</v>
      </c>
      <c r="X31" s="35">
        <f>W31-'RZiS 31.12.2018'!D36</f>
        <v>0</v>
      </c>
    </row>
    <row r="32" spans="1:24" s="7" customFormat="1" ht="10.5">
      <c r="A32" s="12" t="s">
        <v>107</v>
      </c>
      <c r="B32" s="13" t="s">
        <v>393</v>
      </c>
      <c r="C32" s="14">
        <v>83387074.019999996</v>
      </c>
      <c r="D32" s="14">
        <v>1132855.1100000001</v>
      </c>
      <c r="E32" s="14">
        <v>2361010.83</v>
      </c>
      <c r="F32" s="14">
        <v>373266.42</v>
      </c>
      <c r="G32" s="14">
        <v>5887004.2800000003</v>
      </c>
      <c r="H32" s="14">
        <v>5091482.3499999996</v>
      </c>
      <c r="I32" s="14">
        <v>11296112.1</v>
      </c>
      <c r="J32" s="14">
        <v>2244588.16</v>
      </c>
      <c r="K32" s="14">
        <v>600738.57999999996</v>
      </c>
      <c r="L32" s="14">
        <v>3940779.99</v>
      </c>
      <c r="M32" s="14">
        <v>1340963.3700000001</v>
      </c>
      <c r="N32" s="14">
        <v>-358660.31</v>
      </c>
      <c r="O32" s="14">
        <v>1879921.5</v>
      </c>
      <c r="P32" s="14">
        <v>462594.64</v>
      </c>
      <c r="Q32" s="14">
        <v>145617.48000000001</v>
      </c>
      <c r="R32" s="14">
        <v>1474195.66</v>
      </c>
      <c r="S32" s="14">
        <v>1276781.8600000001</v>
      </c>
      <c r="T32" s="14">
        <v>3931393.21</v>
      </c>
      <c r="U32" s="14">
        <v>273843.61</v>
      </c>
      <c r="V32" s="14">
        <f>-[2]Razem_Z3!$E$86</f>
        <v>-82</v>
      </c>
      <c r="W32" s="14">
        <f t="shared" si="2"/>
        <v>126741480.85999997</v>
      </c>
      <c r="X32" s="35">
        <f>W32-'RZiS 31.12.2018'!D37</f>
        <v>0</v>
      </c>
    </row>
    <row r="33" spans="1:24" s="7" customFormat="1" ht="10.5">
      <c r="A33" s="12" t="s">
        <v>124</v>
      </c>
      <c r="B33" s="13" t="s">
        <v>297</v>
      </c>
      <c r="C33" s="14">
        <v>23426765.170000002</v>
      </c>
      <c r="D33" s="14">
        <v>0</v>
      </c>
      <c r="E33" s="14">
        <v>2643.18</v>
      </c>
      <c r="F33" s="14">
        <v>2971.55</v>
      </c>
      <c r="G33" s="14">
        <v>269300.03999999998</v>
      </c>
      <c r="H33" s="14">
        <v>0</v>
      </c>
      <c r="I33" s="14">
        <v>0</v>
      </c>
      <c r="J33" s="14">
        <v>591081.88</v>
      </c>
      <c r="K33" s="14">
        <v>2060265.02</v>
      </c>
      <c r="L33" s="14">
        <v>0</v>
      </c>
      <c r="M33" s="14">
        <v>4489468.62</v>
      </c>
      <c r="N33" s="14">
        <v>585272.53</v>
      </c>
      <c r="O33" s="14">
        <v>15871335.310000001</v>
      </c>
      <c r="P33" s="14">
        <v>0</v>
      </c>
      <c r="Q33" s="14">
        <v>763682.33</v>
      </c>
      <c r="R33" s="14">
        <v>1544535.58</v>
      </c>
      <c r="S33" s="14">
        <v>288440.45</v>
      </c>
      <c r="T33" s="14">
        <v>45357302.310000002</v>
      </c>
      <c r="U33" s="14">
        <v>12561.97</v>
      </c>
      <c r="V33" s="14"/>
      <c r="W33" s="14">
        <f t="shared" si="2"/>
        <v>95265625.939999998</v>
      </c>
      <c r="X33" s="35">
        <f>W33-'RZiS 31.12.2018'!D38</f>
        <v>0</v>
      </c>
    </row>
    <row r="34" spans="1:24" s="11" customFormat="1" ht="10.5">
      <c r="A34" s="8" t="s">
        <v>394</v>
      </c>
      <c r="B34" s="9" t="s">
        <v>395</v>
      </c>
      <c r="C34" s="10">
        <v>300255417.82999998</v>
      </c>
      <c r="D34" s="10">
        <v>273489.82</v>
      </c>
      <c r="E34" s="10">
        <v>1798864.95</v>
      </c>
      <c r="F34" s="10">
        <v>77995.95</v>
      </c>
      <c r="G34" s="10">
        <v>6964475.0800000001</v>
      </c>
      <c r="H34" s="10">
        <v>667826.38</v>
      </c>
      <c r="I34" s="10">
        <v>10613126.52</v>
      </c>
      <c r="J34" s="10">
        <v>2507678.66</v>
      </c>
      <c r="K34" s="10">
        <v>2514322.1</v>
      </c>
      <c r="L34" s="10">
        <v>3202085.62</v>
      </c>
      <c r="M34" s="10">
        <v>6062752.96</v>
      </c>
      <c r="N34" s="10">
        <v>1484.54</v>
      </c>
      <c r="O34" s="10">
        <v>18047072.670000002</v>
      </c>
      <c r="P34" s="10">
        <v>118342.73</v>
      </c>
      <c r="Q34" s="10">
        <v>673328.18</v>
      </c>
      <c r="R34" s="10">
        <v>2835300.73</v>
      </c>
      <c r="S34" s="10">
        <v>2176006.62</v>
      </c>
      <c r="T34" s="10">
        <v>46567815.420000002</v>
      </c>
      <c r="U34" s="10">
        <v>3378.83</v>
      </c>
      <c r="V34" s="10">
        <f>SUM(V35:V36)</f>
        <v>-82</v>
      </c>
      <c r="W34" s="10">
        <f>SUM(W35:W36)</f>
        <v>405360683.59000003</v>
      </c>
      <c r="X34" s="35">
        <f>W34-'RZiS 31.12.2018'!D39</f>
        <v>0</v>
      </c>
    </row>
    <row r="35" spans="1:24" s="7" customFormat="1" ht="10.5">
      <c r="A35" s="12" t="s">
        <v>105</v>
      </c>
      <c r="B35" s="13" t="s">
        <v>393</v>
      </c>
      <c r="C35" s="14">
        <v>202999964.43000001</v>
      </c>
      <c r="D35" s="14">
        <v>0</v>
      </c>
      <c r="E35" s="14">
        <v>37</v>
      </c>
      <c r="F35" s="14">
        <v>7927.77</v>
      </c>
      <c r="G35" s="14">
        <v>3121409.01</v>
      </c>
      <c r="H35" s="14">
        <v>667826.38</v>
      </c>
      <c r="I35" s="14">
        <v>140891.35</v>
      </c>
      <c r="J35" s="14">
        <v>0</v>
      </c>
      <c r="K35" s="14">
        <v>0</v>
      </c>
      <c r="L35" s="14">
        <v>1596.91</v>
      </c>
      <c r="M35" s="14">
        <v>60606.37</v>
      </c>
      <c r="N35" s="14">
        <v>1484.54</v>
      </c>
      <c r="O35" s="14">
        <v>1659147.19</v>
      </c>
      <c r="P35" s="14">
        <v>83837.05</v>
      </c>
      <c r="Q35" s="14">
        <v>7379.17</v>
      </c>
      <c r="R35" s="14">
        <v>0</v>
      </c>
      <c r="S35" s="14">
        <v>254614.74</v>
      </c>
      <c r="T35" s="14">
        <v>200705.71</v>
      </c>
      <c r="U35" s="14">
        <v>3378.83</v>
      </c>
      <c r="V35" s="14">
        <f>-[2]Razem_Z3!$E$89</f>
        <v>-82</v>
      </c>
      <c r="W35" s="14">
        <f t="shared" si="2"/>
        <v>209210724.45000002</v>
      </c>
      <c r="X35" s="35">
        <f>W35-'RZiS 31.12.2018'!D40</f>
        <v>0</v>
      </c>
    </row>
    <row r="36" spans="1:24" s="7" customFormat="1" ht="10.5">
      <c r="A36" s="12" t="s">
        <v>107</v>
      </c>
      <c r="B36" s="13" t="s">
        <v>297</v>
      </c>
      <c r="C36" s="14">
        <v>97255453.400000006</v>
      </c>
      <c r="D36" s="14">
        <v>273489.82</v>
      </c>
      <c r="E36" s="14">
        <v>1798827.95</v>
      </c>
      <c r="F36" s="14">
        <v>70068.179999999993</v>
      </c>
      <c r="G36" s="14">
        <v>3843066.07</v>
      </c>
      <c r="H36" s="14">
        <v>0</v>
      </c>
      <c r="I36" s="14">
        <v>10472235.17</v>
      </c>
      <c r="J36" s="14">
        <v>2507678.66</v>
      </c>
      <c r="K36" s="14">
        <v>2514322.1</v>
      </c>
      <c r="L36" s="14">
        <v>3200488.71</v>
      </c>
      <c r="M36" s="14">
        <v>6002146.5899999999</v>
      </c>
      <c r="N36" s="14">
        <v>0</v>
      </c>
      <c r="O36" s="14">
        <v>16387925.48</v>
      </c>
      <c r="P36" s="14">
        <v>34505.68</v>
      </c>
      <c r="Q36" s="14">
        <v>665949.01</v>
      </c>
      <c r="R36" s="14">
        <v>2835300.73</v>
      </c>
      <c r="S36" s="14">
        <v>1921391.88</v>
      </c>
      <c r="T36" s="14">
        <v>46367109.710000001</v>
      </c>
      <c r="U36" s="14">
        <v>0</v>
      </c>
      <c r="V36" s="14"/>
      <c r="W36" s="14">
        <f t="shared" si="2"/>
        <v>196149959.13999999</v>
      </c>
      <c r="X36" s="35">
        <f>W36-'RZiS 31.12.2018'!D41</f>
        <v>0</v>
      </c>
    </row>
    <row r="37" spans="1:24" s="11" customFormat="1" ht="10.5">
      <c r="A37" s="8" t="s">
        <v>105</v>
      </c>
      <c r="B37" s="9" t="s">
        <v>404</v>
      </c>
      <c r="C37" s="10">
        <v>12473099536.719999</v>
      </c>
      <c r="D37" s="10">
        <v>-86170472.049999997</v>
      </c>
      <c r="E37" s="10">
        <v>-110402037.44</v>
      </c>
      <c r="F37" s="10">
        <v>-86787814.640000001</v>
      </c>
      <c r="G37" s="10">
        <v>103374733.44</v>
      </c>
      <c r="H37" s="10">
        <v>-186517963.47999999</v>
      </c>
      <c r="I37" s="10">
        <v>-95581352.609999999</v>
      </c>
      <c r="J37" s="10">
        <v>-41076709.909999996</v>
      </c>
      <c r="K37" s="10">
        <v>-36862277.149999999</v>
      </c>
      <c r="L37" s="10">
        <v>105736123.34</v>
      </c>
      <c r="M37" s="10">
        <v>-75513603.230000004</v>
      </c>
      <c r="N37" s="10">
        <v>-77456653.030000001</v>
      </c>
      <c r="O37" s="10">
        <v>-51681558</v>
      </c>
      <c r="P37" s="10">
        <v>-62953230.969999999</v>
      </c>
      <c r="Q37" s="10">
        <v>-40519436.600000001</v>
      </c>
      <c r="R37" s="10">
        <v>-49385625.560000002</v>
      </c>
      <c r="S37" s="10">
        <v>-487343.83</v>
      </c>
      <c r="T37" s="10">
        <v>16941985.77</v>
      </c>
      <c r="U37" s="10">
        <v>-20557899.34</v>
      </c>
      <c r="V37" s="10">
        <f>V29+V30-V34</f>
        <v>-1.1177689884789288E-9</v>
      </c>
      <c r="W37" s="10">
        <f>W29+W30-W34</f>
        <v>11677198401.429998</v>
      </c>
      <c r="X37" s="35">
        <f>W37-'RZiS 31.12.2018'!D42</f>
        <v>0</v>
      </c>
    </row>
    <row r="38" spans="1:24" s="11" customFormat="1" ht="10.5">
      <c r="A38" s="8" t="s">
        <v>396</v>
      </c>
      <c r="B38" s="9" t="s">
        <v>399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0">
        <v>0</v>
      </c>
      <c r="O38" s="10">
        <v>0</v>
      </c>
      <c r="P38" s="10">
        <v>0</v>
      </c>
      <c r="Q38" s="10">
        <v>0</v>
      </c>
      <c r="R38" s="10">
        <v>0</v>
      </c>
      <c r="S38" s="10">
        <v>0</v>
      </c>
      <c r="T38" s="10">
        <v>0</v>
      </c>
      <c r="U38" s="10">
        <v>0</v>
      </c>
      <c r="V38" s="10"/>
      <c r="W38" s="14">
        <f t="shared" si="2"/>
        <v>0</v>
      </c>
      <c r="X38" s="35">
        <f>W38-'RZiS 31.12.2018'!D43</f>
        <v>0</v>
      </c>
    </row>
    <row r="39" spans="1:24" s="7" customFormat="1" ht="21">
      <c r="A39" s="12" t="s">
        <v>397</v>
      </c>
      <c r="B39" s="13" t="s">
        <v>405</v>
      </c>
      <c r="C39" s="14">
        <v>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4">
        <v>0</v>
      </c>
      <c r="Q39" s="14">
        <v>0</v>
      </c>
      <c r="R39" s="14">
        <v>0</v>
      </c>
      <c r="S39" s="14">
        <v>0</v>
      </c>
      <c r="T39" s="14">
        <v>0</v>
      </c>
      <c r="U39" s="14">
        <v>0</v>
      </c>
      <c r="V39" s="14"/>
      <c r="W39" s="14">
        <f t="shared" si="2"/>
        <v>0</v>
      </c>
      <c r="X39" s="35">
        <f>W39-'RZiS 31.12.2018'!D44</f>
        <v>0</v>
      </c>
    </row>
    <row r="40" spans="1:24" s="11" customFormat="1" ht="10.5">
      <c r="A40" s="8" t="s">
        <v>398</v>
      </c>
      <c r="B40" s="9" t="s">
        <v>406</v>
      </c>
      <c r="C40" s="10">
        <v>12473099536.719999</v>
      </c>
      <c r="D40" s="10">
        <v>-86170472.049999997</v>
      </c>
      <c r="E40" s="10">
        <v>-110402037.44</v>
      </c>
      <c r="F40" s="10">
        <v>-86787814.640000001</v>
      </c>
      <c r="G40" s="10">
        <v>103374733.44</v>
      </c>
      <c r="H40" s="10">
        <v>-186517963.47999999</v>
      </c>
      <c r="I40" s="10">
        <v>-95581352.609999999</v>
      </c>
      <c r="J40" s="10">
        <v>-41076709.909999996</v>
      </c>
      <c r="K40" s="10">
        <v>-36862277.149999999</v>
      </c>
      <c r="L40" s="10">
        <v>105736123.34</v>
      </c>
      <c r="M40" s="10">
        <v>-75513603.230000004</v>
      </c>
      <c r="N40" s="10">
        <v>-77456653.030000001</v>
      </c>
      <c r="O40" s="10">
        <v>-51681558</v>
      </c>
      <c r="P40" s="10">
        <v>-62953230.969999999</v>
      </c>
      <c r="Q40" s="10">
        <v>-40519436.600000001</v>
      </c>
      <c r="R40" s="10">
        <v>-49385625.560000002</v>
      </c>
      <c r="S40" s="10">
        <v>-487343.83</v>
      </c>
      <c r="T40" s="10">
        <v>16941985.77</v>
      </c>
      <c r="U40" s="10">
        <v>-20557899.34</v>
      </c>
      <c r="V40" s="10">
        <f>V37-V38-V39</f>
        <v>-1.1177689884789288E-9</v>
      </c>
      <c r="W40" s="10">
        <f>W37-W38-W39</f>
        <v>11677198401.429998</v>
      </c>
      <c r="X40" s="35">
        <f>W40-'RZiS 31.12.2018'!D45</f>
        <v>0</v>
      </c>
    </row>
    <row r="42" spans="1:24">
      <c r="B42" s="90" t="s">
        <v>311</v>
      </c>
      <c r="C42" s="24">
        <f>C40-'Pasywa BZ'!C5</f>
        <v>0</v>
      </c>
      <c r="D42" s="24">
        <f>D40-'Pasywa BZ'!D5</f>
        <v>0</v>
      </c>
      <c r="E42" s="24">
        <f>E40-'Pasywa BZ'!E5</f>
        <v>0</v>
      </c>
      <c r="F42" s="24">
        <f>F40-'Pasywa BZ'!F5</f>
        <v>0</v>
      </c>
      <c r="G42" s="24">
        <f>G40-'Pasywa BZ'!G5</f>
        <v>0</v>
      </c>
      <c r="H42" s="24">
        <f>H40-'Pasywa BZ'!H5</f>
        <v>0</v>
      </c>
      <c r="I42" s="24">
        <f>I40-'Pasywa BZ'!I5</f>
        <v>0</v>
      </c>
      <c r="J42" s="24">
        <f>J40-'Pasywa BZ'!J5</f>
        <v>0</v>
      </c>
      <c r="K42" s="24">
        <f>K40-'Pasywa BZ'!K5</f>
        <v>0</v>
      </c>
      <c r="L42" s="24">
        <f>L40-'Pasywa BZ'!L5</f>
        <v>0</v>
      </c>
      <c r="M42" s="24">
        <f>M40-'Pasywa BZ'!M5</f>
        <v>0</v>
      </c>
      <c r="N42" s="24">
        <f>N40-'Pasywa BZ'!N5</f>
        <v>0</v>
      </c>
      <c r="O42" s="24">
        <f>O40-'Pasywa BZ'!O5</f>
        <v>0</v>
      </c>
      <c r="P42" s="24">
        <f>P40-'Pasywa BZ'!P5</f>
        <v>0</v>
      </c>
      <c r="Q42" s="24">
        <f>Q40-'Pasywa BZ'!Q5</f>
        <v>0</v>
      </c>
      <c r="R42" s="24">
        <f>R40-'Pasywa BZ'!R5</f>
        <v>0</v>
      </c>
      <c r="S42" s="24">
        <f>S40-'Pasywa BZ'!S5</f>
        <v>0</v>
      </c>
      <c r="T42" s="24">
        <f>T40-'Pasywa BZ'!T5</f>
        <v>0</v>
      </c>
      <c r="U42" s="24">
        <f>U40-'Pasywa BZ'!U5</f>
        <v>0</v>
      </c>
      <c r="V42" s="24">
        <f>V40-'Pasywa BZ'!V5</f>
        <v>-1.1177689884789288E-9</v>
      </c>
      <c r="W42" s="24">
        <f>W40-'Pasywa BZ'!W5</f>
        <v>0</v>
      </c>
    </row>
    <row r="44" spans="1:24" s="24" customFormat="1" ht="12.75" hidden="1">
      <c r="B44" s="24" t="s">
        <v>407</v>
      </c>
    </row>
    <row r="45" spans="1:24" hidden="1">
      <c r="P45" s="24"/>
    </row>
    <row r="46" spans="1:24" hidden="1"/>
  </sheetData>
  <conditionalFormatting sqref="A42 A44:XFD44 C42:XFD42">
    <cfRule type="cellIs" dxfId="5" priority="10" operator="notEqual">
      <formula>0</formula>
    </cfRule>
  </conditionalFormatting>
  <conditionalFormatting sqref="P45">
    <cfRule type="cellIs" dxfId="4" priority="7" operator="notEqual">
      <formula>0</formula>
    </cfRule>
  </conditionalFormatting>
  <conditionalFormatting sqref="C42:W42">
    <cfRule type="cellIs" dxfId="3" priority="1" operator="notEqual">
      <formula>0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2"/>
  <sheetViews>
    <sheetView workbookViewId="0">
      <pane xSplit="3" ySplit="2" topLeftCell="D9" activePane="bottomRight" state="frozen"/>
      <selection activeCell="B47" sqref="B47"/>
      <selection pane="topRight" activeCell="B47" sqref="B47"/>
      <selection pane="bottomLeft" activeCell="B47" sqref="B47"/>
      <selection pane="bottomRight" activeCell="B47" sqref="B47"/>
    </sheetView>
  </sheetViews>
  <sheetFormatPr defaultRowHeight="15"/>
  <cols>
    <col min="1" max="1" width="5.140625" bestFit="1" customWidth="1"/>
    <col min="2" max="2" width="7" customWidth="1"/>
    <col min="3" max="3" width="52.85546875" customWidth="1"/>
    <col min="4" max="4" width="19.28515625" customWidth="1"/>
    <col min="5" max="6" width="17.140625" customWidth="1"/>
    <col min="7" max="7" width="17.28515625" customWidth="1"/>
    <col min="8" max="8" width="18.42578125" customWidth="1"/>
    <col min="9" max="9" width="17.28515625" customWidth="1"/>
    <col min="10" max="10" width="18.42578125" bestFit="1" customWidth="1"/>
    <col min="11" max="13" width="17.28515625" customWidth="1"/>
    <col min="14" max="14" width="17.140625" customWidth="1"/>
    <col min="15" max="16" width="17.28515625" customWidth="1"/>
    <col min="17" max="17" width="17.140625" customWidth="1"/>
    <col min="18" max="19" width="17.28515625" customWidth="1"/>
    <col min="20" max="20" width="15.85546875" customWidth="1"/>
    <col min="21" max="21" width="18.28515625" customWidth="1"/>
    <col min="22" max="22" width="17.140625" customWidth="1"/>
    <col min="23" max="23" width="16.42578125" customWidth="1"/>
    <col min="24" max="24" width="19.7109375" bestFit="1" customWidth="1"/>
    <col min="25" max="25" width="18.140625" bestFit="1" customWidth="1"/>
    <col min="28" max="28" width="15.42578125" bestFit="1" customWidth="1"/>
  </cols>
  <sheetData>
    <row r="1" spans="1:28">
      <c r="B1" s="4" t="s">
        <v>281</v>
      </c>
      <c r="D1" s="17">
        <v>43580</v>
      </c>
    </row>
    <row r="2" spans="1:28" ht="31.5">
      <c r="A2" s="6"/>
      <c r="B2" s="6" t="s">
        <v>80</v>
      </c>
      <c r="C2" s="6" t="s">
        <v>81</v>
      </c>
      <c r="D2" s="6" t="s">
        <v>82</v>
      </c>
      <c r="E2" s="6" t="s">
        <v>83</v>
      </c>
      <c r="F2" s="6" t="s">
        <v>84</v>
      </c>
      <c r="G2" s="6" t="s">
        <v>85</v>
      </c>
      <c r="H2" s="6" t="s">
        <v>86</v>
      </c>
      <c r="I2" s="6" t="s">
        <v>87</v>
      </c>
      <c r="J2" s="6" t="s">
        <v>88</v>
      </c>
      <c r="K2" s="6" t="s">
        <v>89</v>
      </c>
      <c r="L2" s="6" t="s">
        <v>90</v>
      </c>
      <c r="M2" s="6" t="s">
        <v>91</v>
      </c>
      <c r="N2" s="6" t="s">
        <v>92</v>
      </c>
      <c r="O2" s="6" t="s">
        <v>93</v>
      </c>
      <c r="P2" s="6" t="s">
        <v>94</v>
      </c>
      <c r="Q2" s="6" t="s">
        <v>95</v>
      </c>
      <c r="R2" s="6" t="s">
        <v>96</v>
      </c>
      <c r="S2" s="6" t="s">
        <v>97</v>
      </c>
      <c r="T2" s="6" t="s">
        <v>98</v>
      </c>
      <c r="U2" s="6" t="s">
        <v>99</v>
      </c>
      <c r="V2" s="6" t="s">
        <v>100</v>
      </c>
      <c r="W2" s="6" t="s">
        <v>162</v>
      </c>
      <c r="X2" s="6" t="s">
        <v>101</v>
      </c>
    </row>
    <row r="3" spans="1:28" s="11" customFormat="1" ht="10.5">
      <c r="A3" s="48">
        <v>1</v>
      </c>
      <c r="B3" s="49" t="s">
        <v>105</v>
      </c>
      <c r="C3" s="50" t="s">
        <v>238</v>
      </c>
      <c r="D3" s="10">
        <v>-2943637074.7800002</v>
      </c>
      <c r="E3" s="10">
        <v>3540106673.7399998</v>
      </c>
      <c r="F3" s="10">
        <v>2923133444.7600002</v>
      </c>
      <c r="G3" s="10">
        <v>3053843435.79</v>
      </c>
      <c r="H3" s="10">
        <v>22390598017.950001</v>
      </c>
      <c r="I3" s="10">
        <v>4853038218.3199997</v>
      </c>
      <c r="J3" s="10">
        <v>6424445334.3100004</v>
      </c>
      <c r="K3" s="10">
        <v>633609120.92999995</v>
      </c>
      <c r="L3" s="10">
        <v>308599712.20999998</v>
      </c>
      <c r="M3" s="10">
        <v>8358551342.9099998</v>
      </c>
      <c r="N3" s="10">
        <v>2940622385</v>
      </c>
      <c r="O3" s="10">
        <v>901737004.76999998</v>
      </c>
      <c r="P3" s="10">
        <v>7218551555.1000004</v>
      </c>
      <c r="Q3" s="10">
        <v>1130480028.96</v>
      </c>
      <c r="R3" s="10">
        <v>679733408.37</v>
      </c>
      <c r="S3" s="10">
        <v>1539364545.3499999</v>
      </c>
      <c r="T3" s="10">
        <v>673458371.84000003</v>
      </c>
      <c r="U3" s="10">
        <v>10983238834.459999</v>
      </c>
      <c r="V3" s="10">
        <v>3233181830.7399998</v>
      </c>
      <c r="W3" s="10"/>
      <c r="X3" s="10">
        <f>SUM(D3:W3)</f>
        <v>78842656190.729996</v>
      </c>
      <c r="Y3" s="35">
        <f>X3-'ZZwFJ 31.12.2018'!D7</f>
        <v>0</v>
      </c>
      <c r="AB3" s="37"/>
    </row>
    <row r="4" spans="1:28" s="11" customFormat="1" ht="10.5">
      <c r="A4" s="48">
        <v>2</v>
      </c>
      <c r="B4" s="49" t="s">
        <v>109</v>
      </c>
      <c r="C4" s="50" t="s">
        <v>239</v>
      </c>
      <c r="D4" s="10">
        <v>14058040256.33</v>
      </c>
      <c r="E4" s="10">
        <v>227272233.97999999</v>
      </c>
      <c r="F4" s="10">
        <v>456495636.54000002</v>
      </c>
      <c r="G4" s="10">
        <v>339439749.22000003</v>
      </c>
      <c r="H4" s="10">
        <v>1761968160.21</v>
      </c>
      <c r="I4" s="10">
        <v>453418910.77999997</v>
      </c>
      <c r="J4" s="10">
        <v>3905081727.3299999</v>
      </c>
      <c r="K4" s="10">
        <v>226653236.91</v>
      </c>
      <c r="L4" s="10">
        <v>156975960.63999999</v>
      </c>
      <c r="M4" s="10">
        <v>374918122.11000001</v>
      </c>
      <c r="N4" s="10">
        <v>344772796.31</v>
      </c>
      <c r="O4" s="10">
        <v>230873647.16</v>
      </c>
      <c r="P4" s="10">
        <v>460152719.16000003</v>
      </c>
      <c r="Q4" s="10">
        <v>271392702.17000002</v>
      </c>
      <c r="R4" s="10">
        <v>103620183.52</v>
      </c>
      <c r="S4" s="10">
        <v>626518410.35000002</v>
      </c>
      <c r="T4" s="10">
        <v>236929242.22</v>
      </c>
      <c r="U4" s="10">
        <v>295876079.00999999</v>
      </c>
      <c r="V4" s="10">
        <v>328477379.60000002</v>
      </c>
      <c r="W4" s="10">
        <f>SUM(W5:W14)</f>
        <v>-12841566.799999999</v>
      </c>
      <c r="X4" s="10">
        <f>SUM(X5:X14)</f>
        <v>24846035586.750004</v>
      </c>
      <c r="Y4" s="35">
        <f>X4-'ZZwFJ 31.12.2018'!D8</f>
        <v>0</v>
      </c>
    </row>
    <row r="5" spans="1:28" s="11" customFormat="1" ht="10.5">
      <c r="A5" s="51">
        <v>3</v>
      </c>
      <c r="B5" s="45" t="s">
        <v>111</v>
      </c>
      <c r="C5" s="46" t="s">
        <v>240</v>
      </c>
      <c r="D5" s="14">
        <v>10375343634.85</v>
      </c>
      <c r="E5" s="14">
        <v>0</v>
      </c>
      <c r="F5" s="14">
        <v>0</v>
      </c>
      <c r="G5" s="14">
        <v>0</v>
      </c>
      <c r="H5" s="14">
        <v>0</v>
      </c>
      <c r="I5" s="14">
        <v>8167087.9199999999</v>
      </c>
      <c r="J5" s="14">
        <v>0</v>
      </c>
      <c r="K5" s="14">
        <v>0</v>
      </c>
      <c r="L5" s="14">
        <v>0</v>
      </c>
      <c r="M5" s="14">
        <v>119183638.37</v>
      </c>
      <c r="N5" s="14">
        <v>0</v>
      </c>
      <c r="O5" s="14">
        <v>0</v>
      </c>
      <c r="P5" s="14">
        <v>0</v>
      </c>
      <c r="Q5" s="14">
        <v>0</v>
      </c>
      <c r="R5" s="14">
        <v>0</v>
      </c>
      <c r="S5" s="14">
        <v>0</v>
      </c>
      <c r="T5" s="14">
        <v>0</v>
      </c>
      <c r="U5" s="14">
        <v>27703308.739999998</v>
      </c>
      <c r="V5" s="14">
        <v>0</v>
      </c>
      <c r="W5" s="14"/>
      <c r="X5" s="14">
        <f t="shared" ref="X5:X14" si="0">SUM(D5:W5)</f>
        <v>10530397669.880001</v>
      </c>
      <c r="Y5" s="35">
        <f>X5-'ZZwFJ 31.12.2018'!D9</f>
        <v>0</v>
      </c>
    </row>
    <row r="6" spans="1:28" s="7" customFormat="1" ht="10.5">
      <c r="A6" s="51">
        <v>4</v>
      </c>
      <c r="B6" s="45" t="s">
        <v>112</v>
      </c>
      <c r="C6" s="46" t="s">
        <v>241</v>
      </c>
      <c r="D6" s="14">
        <v>3139450770.8299999</v>
      </c>
      <c r="E6" s="14">
        <v>202278188.16999999</v>
      </c>
      <c r="F6" s="14">
        <v>316099310.07999998</v>
      </c>
      <c r="G6" s="14">
        <v>233935635.61000001</v>
      </c>
      <c r="H6" s="14">
        <v>356257880.5</v>
      </c>
      <c r="I6" s="14">
        <v>146857247.97999999</v>
      </c>
      <c r="J6" s="14">
        <v>256513451.59</v>
      </c>
      <c r="K6" s="14">
        <v>115788361.18000001</v>
      </c>
      <c r="L6" s="14">
        <v>66547421.859999999</v>
      </c>
      <c r="M6" s="14">
        <v>183126612.37</v>
      </c>
      <c r="N6" s="14">
        <v>231464410.63</v>
      </c>
      <c r="O6" s="14">
        <v>162749558.83000001</v>
      </c>
      <c r="P6" s="14">
        <v>315832644.63</v>
      </c>
      <c r="Q6" s="14">
        <v>185964631.24000001</v>
      </c>
      <c r="R6" s="14">
        <v>76326662.530000001</v>
      </c>
      <c r="S6" s="14">
        <v>165915268.25999999</v>
      </c>
      <c r="T6" s="14">
        <v>98910068.140000001</v>
      </c>
      <c r="U6" s="14">
        <v>238930678.65000001</v>
      </c>
      <c r="V6" s="14">
        <v>82108727.859999999</v>
      </c>
      <c r="W6" s="30"/>
      <c r="X6" s="14">
        <f t="shared" si="0"/>
        <v>6575057530.9399996</v>
      </c>
      <c r="Y6" s="35">
        <f>X6-'ZZwFJ 31.12.2018'!D10</f>
        <v>0</v>
      </c>
    </row>
    <row r="7" spans="1:28" s="7" customFormat="1" ht="10.5">
      <c r="A7" s="51">
        <v>5</v>
      </c>
      <c r="B7" s="45" t="s">
        <v>114</v>
      </c>
      <c r="C7" s="46" t="s">
        <v>242</v>
      </c>
      <c r="D7" s="14">
        <v>0</v>
      </c>
      <c r="E7" s="14"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14">
        <v>0</v>
      </c>
      <c r="Q7" s="14">
        <v>0</v>
      </c>
      <c r="R7" s="14">
        <v>0</v>
      </c>
      <c r="S7" s="14">
        <v>0</v>
      </c>
      <c r="T7" s="14">
        <v>0</v>
      </c>
      <c r="U7" s="14">
        <v>0</v>
      </c>
      <c r="V7" s="14">
        <v>0</v>
      </c>
      <c r="W7" s="30"/>
      <c r="X7" s="14">
        <f t="shared" si="0"/>
        <v>0</v>
      </c>
      <c r="Y7" s="35">
        <f>X7-'ZZwFJ 31.12.2018'!D11</f>
        <v>0</v>
      </c>
    </row>
    <row r="8" spans="1:28" s="7" customFormat="1" ht="10.5">
      <c r="A8" s="51">
        <v>6</v>
      </c>
      <c r="B8" s="45" t="s">
        <v>116</v>
      </c>
      <c r="C8" s="46" t="s">
        <v>243</v>
      </c>
      <c r="D8" s="14">
        <v>55801221.759999998</v>
      </c>
      <c r="E8" s="14">
        <v>24987151.859999999</v>
      </c>
      <c r="F8" s="14">
        <v>62525001.32</v>
      </c>
      <c r="G8" s="14">
        <v>55443522.109999999</v>
      </c>
      <c r="H8" s="14">
        <v>53826427.719999999</v>
      </c>
      <c r="I8" s="14">
        <v>22058167.780000001</v>
      </c>
      <c r="J8" s="14">
        <v>22583492.989999998</v>
      </c>
      <c r="K8" s="14">
        <v>16113047.699999999</v>
      </c>
      <c r="L8" s="14">
        <v>10516214.17</v>
      </c>
      <c r="M8" s="14">
        <v>2452290.52</v>
      </c>
      <c r="N8" s="14">
        <v>37567901.399999999</v>
      </c>
      <c r="O8" s="14">
        <v>32976917.300000001</v>
      </c>
      <c r="P8" s="14">
        <v>66483645.630000003</v>
      </c>
      <c r="Q8" s="14">
        <v>34974133.670000002</v>
      </c>
      <c r="R8" s="14">
        <v>19853190.559999999</v>
      </c>
      <c r="S8" s="14">
        <v>51835765.289999999</v>
      </c>
      <c r="T8" s="14">
        <v>10875982.25</v>
      </c>
      <c r="U8" s="14">
        <v>29201354.079999998</v>
      </c>
      <c r="V8" s="14">
        <v>8695611.5500000007</v>
      </c>
      <c r="W8" s="30"/>
      <c r="X8" s="14">
        <f t="shared" si="0"/>
        <v>618771039.65999997</v>
      </c>
      <c r="Y8" s="35">
        <f>X8-'ZZwFJ 31.12.2018'!D12</f>
        <v>0</v>
      </c>
    </row>
    <row r="9" spans="1:28" s="7" customFormat="1" ht="10.5">
      <c r="A9" s="51">
        <v>7</v>
      </c>
      <c r="B9" s="45" t="s">
        <v>118</v>
      </c>
      <c r="C9" s="46" t="s">
        <v>244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4">
        <v>0</v>
      </c>
      <c r="Q9" s="14">
        <v>0</v>
      </c>
      <c r="R9" s="14">
        <v>0</v>
      </c>
      <c r="S9" s="14">
        <v>0</v>
      </c>
      <c r="T9" s="14">
        <v>0</v>
      </c>
      <c r="U9" s="14">
        <v>0</v>
      </c>
      <c r="V9" s="14">
        <v>0</v>
      </c>
      <c r="W9" s="30"/>
      <c r="X9" s="14">
        <f t="shared" si="0"/>
        <v>0</v>
      </c>
      <c r="Y9" s="35">
        <f>X9-'ZZwFJ 31.12.2018'!D13</f>
        <v>0</v>
      </c>
    </row>
    <row r="10" spans="1:28" s="7" customFormat="1" ht="21">
      <c r="A10" s="51">
        <v>8</v>
      </c>
      <c r="B10" s="45" t="s">
        <v>245</v>
      </c>
      <c r="C10" s="46" t="s">
        <v>246</v>
      </c>
      <c r="D10" s="14">
        <v>4870078.8600000003</v>
      </c>
      <c r="E10" s="14">
        <v>0</v>
      </c>
      <c r="F10" s="14">
        <v>4446297.88</v>
      </c>
      <c r="G10" s="14">
        <v>2787020.81</v>
      </c>
      <c r="H10" s="14">
        <v>8976704.1400000006</v>
      </c>
      <c r="I10" s="14">
        <v>0</v>
      </c>
      <c r="J10" s="14">
        <v>384094.03</v>
      </c>
      <c r="K10" s="14">
        <v>885863.82</v>
      </c>
      <c r="L10" s="14">
        <v>984602.68</v>
      </c>
      <c r="M10" s="14">
        <v>131068.33</v>
      </c>
      <c r="N10" s="14">
        <v>0</v>
      </c>
      <c r="O10" s="14">
        <v>0</v>
      </c>
      <c r="P10" s="14">
        <v>980971.68</v>
      </c>
      <c r="Q10" s="14">
        <v>9221660.6999999993</v>
      </c>
      <c r="R10" s="14">
        <v>1581727.62</v>
      </c>
      <c r="S10" s="14">
        <v>0</v>
      </c>
      <c r="T10" s="14">
        <v>1179203.1100000001</v>
      </c>
      <c r="U10" s="14">
        <v>1324.02</v>
      </c>
      <c r="V10" s="14">
        <v>2303210.61</v>
      </c>
      <c r="W10" s="14">
        <f>-[3]Razem!$D$28</f>
        <v>-11423291.639999999</v>
      </c>
      <c r="X10" s="14">
        <f t="shared" si="0"/>
        <v>27310536.649999999</v>
      </c>
      <c r="Y10" s="35">
        <f>X10-'ZZwFJ 31.12.2018'!D14</f>
        <v>0</v>
      </c>
    </row>
    <row r="11" spans="1:28" s="7" customFormat="1" ht="21">
      <c r="A11" s="51">
        <v>9</v>
      </c>
      <c r="B11" s="45" t="s">
        <v>247</v>
      </c>
      <c r="C11" s="46" t="s">
        <v>248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4">
        <v>0</v>
      </c>
      <c r="T11" s="14">
        <v>0</v>
      </c>
      <c r="U11" s="14">
        <v>0</v>
      </c>
      <c r="V11" s="14">
        <v>0</v>
      </c>
      <c r="W11" s="30"/>
      <c r="X11" s="14">
        <f t="shared" si="0"/>
        <v>0</v>
      </c>
      <c r="Y11" s="35">
        <f>X11-'ZZwFJ 31.12.2018'!D15</f>
        <v>0</v>
      </c>
    </row>
    <row r="12" spans="1:28" s="7" customFormat="1" ht="10.5">
      <c r="A12" s="51">
        <v>10</v>
      </c>
      <c r="B12" s="45" t="s">
        <v>249</v>
      </c>
      <c r="C12" s="46" t="s">
        <v>250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5902.96</v>
      </c>
      <c r="V12" s="14">
        <v>0</v>
      </c>
      <c r="W12" s="14"/>
      <c r="X12" s="14">
        <f t="shared" si="0"/>
        <v>5902.96</v>
      </c>
      <c r="Y12" s="35">
        <f>X12-'ZZwFJ 31.12.2018'!D16</f>
        <v>0</v>
      </c>
    </row>
    <row r="13" spans="1:28" s="7" customFormat="1" ht="10.5">
      <c r="A13" s="51">
        <v>11</v>
      </c>
      <c r="B13" s="45" t="s">
        <v>251</v>
      </c>
      <c r="C13" s="46" t="s">
        <v>252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14">
        <v>0</v>
      </c>
      <c r="T13" s="14">
        <v>0</v>
      </c>
      <c r="U13" s="14">
        <v>0</v>
      </c>
      <c r="V13" s="14">
        <v>0</v>
      </c>
      <c r="W13" s="30"/>
      <c r="X13" s="14">
        <f t="shared" si="0"/>
        <v>0</v>
      </c>
      <c r="Y13" s="35">
        <f>X13-'ZZwFJ 31.12.2018'!D17</f>
        <v>0</v>
      </c>
    </row>
    <row r="14" spans="1:28" s="7" customFormat="1" ht="10.5">
      <c r="A14" s="51">
        <v>12</v>
      </c>
      <c r="B14" s="45" t="s">
        <v>253</v>
      </c>
      <c r="C14" s="46" t="s">
        <v>254</v>
      </c>
      <c r="D14" s="14">
        <v>482574550.02999997</v>
      </c>
      <c r="E14" s="14">
        <v>6893.95</v>
      </c>
      <c r="F14" s="14">
        <v>73425027.260000005</v>
      </c>
      <c r="G14" s="14">
        <v>47273570.689999998</v>
      </c>
      <c r="H14" s="14">
        <v>1342907147.8499999</v>
      </c>
      <c r="I14" s="14">
        <v>276336407.10000002</v>
      </c>
      <c r="J14" s="14">
        <v>3625600688.7199998</v>
      </c>
      <c r="K14" s="14">
        <v>93865964.209999993</v>
      </c>
      <c r="L14" s="14">
        <v>78927721.930000007</v>
      </c>
      <c r="M14" s="14">
        <v>70024512.519999996</v>
      </c>
      <c r="N14" s="14">
        <v>75740484.280000001</v>
      </c>
      <c r="O14" s="14">
        <v>35147171.030000001</v>
      </c>
      <c r="P14" s="14">
        <v>76855457.219999999</v>
      </c>
      <c r="Q14" s="14">
        <v>41232276.560000002</v>
      </c>
      <c r="R14" s="14">
        <v>5858602.8099999996</v>
      </c>
      <c r="S14" s="14">
        <v>408767376.80000001</v>
      </c>
      <c r="T14" s="14">
        <v>125963988.72</v>
      </c>
      <c r="U14" s="14">
        <v>33510.559999999998</v>
      </c>
      <c r="V14" s="14">
        <v>235369829.58000001</v>
      </c>
      <c r="W14" s="14">
        <f>-[3]Razem!$D$30</f>
        <v>-1418275.16</v>
      </c>
      <c r="X14" s="14">
        <f t="shared" si="0"/>
        <v>7094492906.6600027</v>
      </c>
      <c r="Y14" s="35">
        <f>X14-'ZZwFJ 31.12.2018'!D18</f>
        <v>0</v>
      </c>
    </row>
    <row r="15" spans="1:28" s="11" customFormat="1" ht="10.5">
      <c r="A15" s="48">
        <v>13</v>
      </c>
      <c r="B15" s="49" t="s">
        <v>120</v>
      </c>
      <c r="C15" s="50" t="s">
        <v>255</v>
      </c>
      <c r="D15" s="10">
        <v>23163718316.52</v>
      </c>
      <c r="E15" s="10">
        <v>3031471082.71</v>
      </c>
      <c r="F15" s="10">
        <v>2482271947.5</v>
      </c>
      <c r="G15" s="10">
        <v>2572259274.0799999</v>
      </c>
      <c r="H15" s="10">
        <v>22702733593.25</v>
      </c>
      <c r="I15" s="10">
        <v>4979867146.9300003</v>
      </c>
      <c r="J15" s="10">
        <v>9586272817.8299999</v>
      </c>
      <c r="K15" s="10">
        <v>662899424.11000001</v>
      </c>
      <c r="L15" s="10">
        <v>230450979.49000001</v>
      </c>
      <c r="M15" s="10">
        <v>7598140917.3599997</v>
      </c>
      <c r="N15" s="10">
        <v>2753753552.1599998</v>
      </c>
      <c r="O15" s="10">
        <v>665800554.72000003</v>
      </c>
      <c r="P15" s="10">
        <v>6954577096.1999998</v>
      </c>
      <c r="Q15" s="10">
        <v>934242017.80999994</v>
      </c>
      <c r="R15" s="10">
        <v>487681850.05000001</v>
      </c>
      <c r="S15" s="10">
        <v>1514205552.0699999</v>
      </c>
      <c r="T15" s="10">
        <v>606620196.95000005</v>
      </c>
      <c r="U15" s="10">
        <v>11011127263.610001</v>
      </c>
      <c r="V15" s="10">
        <v>3159289864.5900002</v>
      </c>
      <c r="W15" s="10">
        <f>SUM(W16:W24)</f>
        <v>-12841566.800000001</v>
      </c>
      <c r="X15" s="10">
        <f>SUM(X16:X24)</f>
        <v>105084541881.13998</v>
      </c>
      <c r="Y15" s="35">
        <f>X15-'ZZwFJ 31.12.2018'!D19</f>
        <v>0</v>
      </c>
    </row>
    <row r="16" spans="1:28" s="11" customFormat="1" ht="10.5">
      <c r="A16" s="51">
        <v>14</v>
      </c>
      <c r="B16" s="45" t="s">
        <v>256</v>
      </c>
      <c r="C16" s="46" t="s">
        <v>257</v>
      </c>
      <c r="D16" s="14">
        <v>0</v>
      </c>
      <c r="E16" s="14">
        <v>78127272.959999993</v>
      </c>
      <c r="F16" s="14">
        <v>81680080.680000007</v>
      </c>
      <c r="G16" s="14">
        <v>88721496.519999996</v>
      </c>
      <c r="H16" s="14">
        <v>51013343.659999996</v>
      </c>
      <c r="I16" s="14">
        <v>0</v>
      </c>
      <c r="J16" s="42">
        <v>75117104.079999998</v>
      </c>
      <c r="K16" s="14">
        <v>78535228.689999998</v>
      </c>
      <c r="L16" s="14">
        <v>30371034.030000001</v>
      </c>
      <c r="M16" s="14">
        <v>0</v>
      </c>
      <c r="N16" s="14">
        <v>67335580.390000001</v>
      </c>
      <c r="O16" s="14">
        <v>59417116.090000004</v>
      </c>
      <c r="P16" s="14">
        <v>30928984.23</v>
      </c>
      <c r="Q16" s="14">
        <v>61459381.590000004</v>
      </c>
      <c r="R16" s="14">
        <v>37585757.640000001</v>
      </c>
      <c r="S16" s="14">
        <v>44520179.710000001</v>
      </c>
      <c r="T16" s="14">
        <v>8243846.3899999997</v>
      </c>
      <c r="U16" s="14">
        <v>0</v>
      </c>
      <c r="V16" s="14">
        <v>140854.10999999999</v>
      </c>
      <c r="W16" s="30"/>
      <c r="X16" s="14">
        <f t="shared" ref="X16:X24" si="1">SUM(D16:W16)</f>
        <v>793197260.76999998</v>
      </c>
      <c r="Y16" s="35">
        <f>X16-'ZZwFJ 31.12.2018'!D20</f>
        <v>0</v>
      </c>
    </row>
    <row r="17" spans="1:25" s="7" customFormat="1" ht="10.5">
      <c r="A17" s="51">
        <v>15</v>
      </c>
      <c r="B17" s="45" t="s">
        <v>258</v>
      </c>
      <c r="C17" s="46" t="s">
        <v>259</v>
      </c>
      <c r="D17" s="14">
        <v>13296769916.639999</v>
      </c>
      <c r="E17" s="14">
        <v>53560133.450000003</v>
      </c>
      <c r="F17" s="14">
        <v>78150410.549999997</v>
      </c>
      <c r="G17" s="14">
        <v>56166908.850000001</v>
      </c>
      <c r="H17" s="14">
        <v>250215170.56999999</v>
      </c>
      <c r="I17" s="14">
        <v>81729910.900000006</v>
      </c>
      <c r="J17" s="14">
        <v>100339415.04000001</v>
      </c>
      <c r="K17" s="14">
        <v>27725143.489999998</v>
      </c>
      <c r="L17" s="14">
        <v>13649798.359999999</v>
      </c>
      <c r="M17" s="14">
        <v>233152691.47</v>
      </c>
      <c r="N17" s="14">
        <v>74692833.569999993</v>
      </c>
      <c r="O17" s="14">
        <v>28970142.609999999</v>
      </c>
      <c r="P17" s="14">
        <v>106918384.89</v>
      </c>
      <c r="Q17" s="14">
        <v>45164951.030000001</v>
      </c>
      <c r="R17" s="14">
        <v>8181486.8099999996</v>
      </c>
      <c r="S17" s="14">
        <v>30502071.170000002</v>
      </c>
      <c r="T17" s="14">
        <v>66512834.329999998</v>
      </c>
      <c r="U17" s="14">
        <v>151148751.22999999</v>
      </c>
      <c r="V17" s="14">
        <v>40760519.979999997</v>
      </c>
      <c r="W17" s="30"/>
      <c r="X17" s="14">
        <f t="shared" si="1"/>
        <v>14744311474.939999</v>
      </c>
      <c r="Y17" s="35">
        <f>X17-'ZZwFJ 31.12.2018'!D21</f>
        <v>0</v>
      </c>
    </row>
    <row r="18" spans="1:25" s="7" customFormat="1" ht="21">
      <c r="A18" s="51">
        <v>16</v>
      </c>
      <c r="B18" s="45" t="s">
        <v>260</v>
      </c>
      <c r="C18" s="46" t="s">
        <v>261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4">
        <v>0</v>
      </c>
      <c r="Q18" s="14">
        <v>0</v>
      </c>
      <c r="R18" s="14">
        <v>0</v>
      </c>
      <c r="S18" s="14">
        <v>0</v>
      </c>
      <c r="T18" s="14">
        <v>0</v>
      </c>
      <c r="U18" s="14">
        <v>0</v>
      </c>
      <c r="V18" s="14">
        <v>0</v>
      </c>
      <c r="W18" s="30"/>
      <c r="X18" s="14">
        <f t="shared" si="1"/>
        <v>0</v>
      </c>
      <c r="Y18" s="35">
        <f>X18-'ZZwFJ 31.12.2018'!D22</f>
        <v>0</v>
      </c>
    </row>
    <row r="19" spans="1:25" s="7" customFormat="1" ht="10.5">
      <c r="A19" s="51">
        <v>17</v>
      </c>
      <c r="B19" s="45" t="s">
        <v>262</v>
      </c>
      <c r="C19" s="46" t="s">
        <v>263</v>
      </c>
      <c r="D19" s="14">
        <v>1652454919.1600001</v>
      </c>
      <c r="E19" s="14">
        <v>70833625.120000005</v>
      </c>
      <c r="F19" s="14">
        <v>151962195.25999999</v>
      </c>
      <c r="G19" s="14">
        <v>100217349.37</v>
      </c>
      <c r="H19" s="14">
        <v>155366817.11000001</v>
      </c>
      <c r="I19" s="14">
        <v>60230689.289999999</v>
      </c>
      <c r="J19" s="14">
        <v>75630905.650000006</v>
      </c>
      <c r="K19" s="14">
        <v>33701515.140000001</v>
      </c>
      <c r="L19" s="14">
        <v>20295028.079999998</v>
      </c>
      <c r="M19" s="14">
        <v>71375480.299999997</v>
      </c>
      <c r="N19" s="14">
        <v>90101402.349999994</v>
      </c>
      <c r="O19" s="14">
        <v>68619602.819999993</v>
      </c>
      <c r="P19" s="14">
        <v>152254375.75</v>
      </c>
      <c r="Q19" s="14">
        <v>83950984.530000001</v>
      </c>
      <c r="R19" s="14">
        <v>36737511.219999999</v>
      </c>
      <c r="S19" s="14">
        <v>95749785.299999997</v>
      </c>
      <c r="T19" s="14">
        <v>40271828.460000001</v>
      </c>
      <c r="U19" s="14">
        <v>100580053.5</v>
      </c>
      <c r="V19" s="14">
        <v>25044100.379999999</v>
      </c>
      <c r="W19" s="30"/>
      <c r="X19" s="14">
        <f t="shared" si="1"/>
        <v>3085378168.7900009</v>
      </c>
      <c r="Y19" s="35">
        <f>X19-'ZZwFJ 31.12.2018'!D23</f>
        <v>0</v>
      </c>
    </row>
    <row r="20" spans="1:25" s="7" customFormat="1" ht="10.5">
      <c r="A20" s="51">
        <v>18</v>
      </c>
      <c r="B20" s="45" t="s">
        <v>264</v>
      </c>
      <c r="C20" s="46" t="s">
        <v>244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4">
        <v>865314536.62</v>
      </c>
      <c r="T20" s="14">
        <v>0</v>
      </c>
      <c r="U20" s="14">
        <v>0</v>
      </c>
      <c r="V20" s="14">
        <v>0</v>
      </c>
      <c r="W20" s="30"/>
      <c r="X20" s="14">
        <f t="shared" si="1"/>
        <v>865314536.62</v>
      </c>
      <c r="Y20" s="35">
        <f>X20-'ZZwFJ 31.12.2018'!D24</f>
        <v>0</v>
      </c>
    </row>
    <row r="21" spans="1:25" s="7" customFormat="1" ht="31.5">
      <c r="A21" s="51">
        <v>19</v>
      </c>
      <c r="B21" s="45" t="s">
        <v>265</v>
      </c>
      <c r="C21" s="46" t="s">
        <v>266</v>
      </c>
      <c r="D21" s="14">
        <v>24700969.530000001</v>
      </c>
      <c r="E21" s="14">
        <v>1996850.07</v>
      </c>
      <c r="F21" s="14">
        <v>54967063.700000003</v>
      </c>
      <c r="G21" s="14">
        <v>13964766.98</v>
      </c>
      <c r="H21" s="14">
        <v>55090228.490000002</v>
      </c>
      <c r="I21" s="14">
        <v>0</v>
      </c>
      <c r="J21" s="14">
        <v>3610340.03</v>
      </c>
      <c r="K21" s="14">
        <v>27709202.129999999</v>
      </c>
      <c r="L21" s="14">
        <v>5142722.91</v>
      </c>
      <c r="M21" s="14">
        <v>863118.52</v>
      </c>
      <c r="N21" s="14">
        <v>20248241.34</v>
      </c>
      <c r="O21" s="14">
        <v>12031639.01</v>
      </c>
      <c r="P21" s="14">
        <v>894286.96</v>
      </c>
      <c r="Q21" s="14">
        <v>26319591.550000001</v>
      </c>
      <c r="R21" s="14">
        <v>316358.21000000002</v>
      </c>
      <c r="S21" s="14">
        <v>47078081.399999999</v>
      </c>
      <c r="T21" s="14">
        <v>0</v>
      </c>
      <c r="U21" s="14">
        <v>13672806.65</v>
      </c>
      <c r="V21" s="14">
        <v>3329435.78</v>
      </c>
      <c r="W21" s="14">
        <f>-[3]Razem!$D$32</f>
        <v>-11423291.640000001</v>
      </c>
      <c r="X21" s="14">
        <f t="shared" si="1"/>
        <v>300512411.62</v>
      </c>
      <c r="Y21" s="35">
        <f>X21-'ZZwFJ 31.12.2018'!D25</f>
        <v>0</v>
      </c>
    </row>
    <row r="22" spans="1:25" s="7" customFormat="1" ht="21">
      <c r="A22" s="51">
        <v>20</v>
      </c>
      <c r="B22" s="45" t="s">
        <v>267</v>
      </c>
      <c r="C22" s="46" t="s">
        <v>268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  <c r="T22" s="14">
        <v>0</v>
      </c>
      <c r="U22" s="14">
        <v>0</v>
      </c>
      <c r="V22" s="14">
        <v>0</v>
      </c>
      <c r="W22" s="30"/>
      <c r="X22" s="14">
        <f t="shared" si="1"/>
        <v>0</v>
      </c>
      <c r="Y22" s="35">
        <f>X22-'ZZwFJ 31.12.2018'!D26</f>
        <v>0</v>
      </c>
    </row>
    <row r="23" spans="1:25" s="7" customFormat="1" ht="10.5">
      <c r="A23" s="51">
        <v>21</v>
      </c>
      <c r="B23" s="45" t="s">
        <v>269</v>
      </c>
      <c r="C23" s="46" t="s">
        <v>270</v>
      </c>
      <c r="D23" s="14">
        <v>2393680.04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14">
        <v>0</v>
      </c>
      <c r="U23" s="14">
        <v>0</v>
      </c>
      <c r="V23" s="14">
        <v>0</v>
      </c>
      <c r="W23" s="14"/>
      <c r="X23" s="14">
        <f t="shared" si="1"/>
        <v>2393680.04</v>
      </c>
      <c r="Y23" s="35">
        <f>X23-'ZZwFJ 31.12.2018'!D27</f>
        <v>0</v>
      </c>
    </row>
    <row r="24" spans="1:25" s="7" customFormat="1" ht="10.5">
      <c r="A24" s="51">
        <v>22</v>
      </c>
      <c r="B24" s="45" t="s">
        <v>271</v>
      </c>
      <c r="C24" s="46" t="s">
        <v>272</v>
      </c>
      <c r="D24" s="14">
        <v>8187398831.1499996</v>
      </c>
      <c r="E24" s="14">
        <v>2826953201.1100001</v>
      </c>
      <c r="F24" s="14">
        <v>2115512197.3099999</v>
      </c>
      <c r="G24" s="14">
        <v>2313188752.3600001</v>
      </c>
      <c r="H24" s="14">
        <v>22191048033.419998</v>
      </c>
      <c r="I24" s="14">
        <v>4837906546.7399998</v>
      </c>
      <c r="J24" s="14">
        <v>9331575053.0300007</v>
      </c>
      <c r="K24" s="14">
        <v>495228334.66000003</v>
      </c>
      <c r="L24" s="14">
        <v>160992396.11000001</v>
      </c>
      <c r="M24" s="14">
        <v>7292749627.0699997</v>
      </c>
      <c r="N24" s="14">
        <v>2501375494.5100002</v>
      </c>
      <c r="O24" s="14">
        <v>496762054.19</v>
      </c>
      <c r="P24" s="14">
        <v>6663581064.3699999</v>
      </c>
      <c r="Q24" s="14">
        <v>717347109.11000001</v>
      </c>
      <c r="R24" s="14">
        <v>404860736.17000002</v>
      </c>
      <c r="S24" s="14">
        <v>431040897.87</v>
      </c>
      <c r="T24" s="14">
        <v>491591687.76999998</v>
      </c>
      <c r="U24" s="14">
        <v>10745725652.23</v>
      </c>
      <c r="V24" s="14">
        <v>3090014954.3400002</v>
      </c>
      <c r="W24" s="14">
        <f>-[3]Razem!$D$34</f>
        <v>-1418275.16</v>
      </c>
      <c r="X24" s="14">
        <f t="shared" si="1"/>
        <v>85293434348.359985</v>
      </c>
      <c r="Y24" s="35">
        <f>X24-'ZZwFJ 31.12.2018'!D28</f>
        <v>0</v>
      </c>
    </row>
    <row r="25" spans="1:25" s="11" customFormat="1" ht="10.5">
      <c r="A25" s="48">
        <v>23</v>
      </c>
      <c r="B25" s="49" t="s">
        <v>107</v>
      </c>
      <c r="C25" s="50" t="s">
        <v>273</v>
      </c>
      <c r="D25" s="10">
        <v>-12049315134.969999</v>
      </c>
      <c r="E25" s="10">
        <v>735907825.00999999</v>
      </c>
      <c r="F25" s="10">
        <v>897357133.79999995</v>
      </c>
      <c r="G25" s="10">
        <v>821023910.92999995</v>
      </c>
      <c r="H25" s="10">
        <v>1449832584.9100001</v>
      </c>
      <c r="I25" s="10">
        <v>326589982.17000002</v>
      </c>
      <c r="J25" s="10">
        <v>743254243.80999994</v>
      </c>
      <c r="K25" s="10">
        <v>197362933.72999999</v>
      </c>
      <c r="L25" s="10">
        <v>235124693.36000001</v>
      </c>
      <c r="M25" s="10">
        <v>1135328547.6600001</v>
      </c>
      <c r="N25" s="10">
        <v>531641629.14999998</v>
      </c>
      <c r="O25" s="10">
        <v>466810097.20999998</v>
      </c>
      <c r="P25" s="10">
        <v>724127178.05999994</v>
      </c>
      <c r="Q25" s="10">
        <v>467630713.31999999</v>
      </c>
      <c r="R25" s="10">
        <v>295671741.83999997</v>
      </c>
      <c r="S25" s="10">
        <v>651677403.63</v>
      </c>
      <c r="T25" s="10">
        <v>303767417.11000001</v>
      </c>
      <c r="U25" s="10">
        <v>267987649.86000001</v>
      </c>
      <c r="V25" s="10">
        <v>402369345.75</v>
      </c>
      <c r="W25" s="10">
        <f>W3+W4-W15</f>
        <v>0</v>
      </c>
      <c r="X25" s="10">
        <f>X3+X4-X15</f>
        <v>-1395850103.6599884</v>
      </c>
      <c r="Y25" s="35">
        <f>X25-'ZZwFJ 31.12.2018'!D29</f>
        <v>1.52587890625E-5</v>
      </c>
    </row>
    <row r="26" spans="1:25" s="11" customFormat="1" ht="10.5">
      <c r="A26" s="48">
        <v>24</v>
      </c>
      <c r="B26" s="49" t="s">
        <v>124</v>
      </c>
      <c r="C26" s="50" t="s">
        <v>274</v>
      </c>
      <c r="D26" s="10">
        <v>12473099536.719999</v>
      </c>
      <c r="E26" s="10">
        <v>-86170472.049999997</v>
      </c>
      <c r="F26" s="10">
        <v>-110402037.44</v>
      </c>
      <c r="G26" s="10">
        <v>-86787814.640000001</v>
      </c>
      <c r="H26" s="10">
        <v>103374733.44</v>
      </c>
      <c r="I26" s="10">
        <v>-186517963.47999999</v>
      </c>
      <c r="J26" s="10">
        <v>-95581352.609999999</v>
      </c>
      <c r="K26" s="10">
        <v>-41076709.909999996</v>
      </c>
      <c r="L26" s="10">
        <v>-36862277.149999999</v>
      </c>
      <c r="M26" s="10">
        <v>105736123.34</v>
      </c>
      <c r="N26" s="10">
        <v>-75513603.230000004</v>
      </c>
      <c r="O26" s="10">
        <v>-77456653.030000001</v>
      </c>
      <c r="P26" s="10">
        <v>-51681558</v>
      </c>
      <c r="Q26" s="10">
        <v>-62953230.969999999</v>
      </c>
      <c r="R26" s="10">
        <v>-40519436.600000001</v>
      </c>
      <c r="S26" s="10">
        <v>-49385625.560000002</v>
      </c>
      <c r="T26" s="10">
        <v>-487343.83</v>
      </c>
      <c r="U26" s="10">
        <v>16941985.77</v>
      </c>
      <c r="V26" s="10">
        <v>-20557899.34</v>
      </c>
      <c r="W26" s="10">
        <f>W27+W28-W29</f>
        <v>0</v>
      </c>
      <c r="X26" s="10">
        <f>X27+X28-X29</f>
        <v>11677198401.43</v>
      </c>
      <c r="Y26" s="35">
        <f>X26-'ZZwFJ 31.12.2018'!D30</f>
        <v>0</v>
      </c>
    </row>
    <row r="27" spans="1:25" s="11" customFormat="1" ht="10.5">
      <c r="A27" s="51">
        <v>25</v>
      </c>
      <c r="B27" s="45" t="s">
        <v>109</v>
      </c>
      <c r="C27" s="46" t="s">
        <v>275</v>
      </c>
      <c r="D27" s="14">
        <v>12473099536.719999</v>
      </c>
      <c r="E27" s="14">
        <v>0</v>
      </c>
      <c r="F27" s="14">
        <v>0</v>
      </c>
      <c r="G27" s="14">
        <v>0</v>
      </c>
      <c r="H27" s="14">
        <v>103374733.44</v>
      </c>
      <c r="I27" s="14">
        <v>0</v>
      </c>
      <c r="J27" s="14">
        <v>0</v>
      </c>
      <c r="K27" s="14">
        <v>0</v>
      </c>
      <c r="L27" s="14">
        <v>0</v>
      </c>
      <c r="M27" s="14">
        <v>105736123.34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  <c r="S27" s="14">
        <v>0</v>
      </c>
      <c r="T27" s="14">
        <v>0</v>
      </c>
      <c r="U27" s="14">
        <v>16941985.77</v>
      </c>
      <c r="V27" s="14">
        <v>0</v>
      </c>
      <c r="W27" s="14"/>
      <c r="X27" s="14">
        <f>SUM(D27:W27)</f>
        <v>12699152379.27</v>
      </c>
      <c r="Y27" s="35">
        <f>X27-'ZZwFJ 31.12.2018'!D31</f>
        <v>1021953977.8400002</v>
      </c>
    </row>
    <row r="28" spans="1:25" s="7" customFormat="1" ht="10.5">
      <c r="A28" s="51">
        <v>26</v>
      </c>
      <c r="B28" s="45" t="s">
        <v>120</v>
      </c>
      <c r="C28" s="46" t="s">
        <v>276</v>
      </c>
      <c r="D28" s="14">
        <v>0</v>
      </c>
      <c r="E28" s="14">
        <v>-86170472.049999997</v>
      </c>
      <c r="F28" s="14">
        <v>-110402037.44</v>
      </c>
      <c r="G28" s="14">
        <v>-86787814.640000001</v>
      </c>
      <c r="H28" s="14">
        <v>0</v>
      </c>
      <c r="I28" s="14">
        <v>-186517963.47999999</v>
      </c>
      <c r="J28" s="14">
        <v>-95581352.609999999</v>
      </c>
      <c r="K28" s="14">
        <v>-41076709.909999996</v>
      </c>
      <c r="L28" s="14">
        <v>-36862277.149999999</v>
      </c>
      <c r="M28" s="14">
        <v>0</v>
      </c>
      <c r="N28" s="14">
        <v>-75513603.230000004</v>
      </c>
      <c r="O28" s="14">
        <v>-77456653.030000001</v>
      </c>
      <c r="P28" s="14">
        <v>-51681558</v>
      </c>
      <c r="Q28" s="14">
        <v>-62953230.969999999</v>
      </c>
      <c r="R28" s="14">
        <v>-40519436.600000001</v>
      </c>
      <c r="S28" s="14">
        <v>-49385625.560000002</v>
      </c>
      <c r="T28" s="14">
        <v>-487343.83</v>
      </c>
      <c r="U28" s="14">
        <v>0</v>
      </c>
      <c r="V28" s="14">
        <v>-20557899.34</v>
      </c>
      <c r="W28" s="30"/>
      <c r="X28" s="14">
        <f>SUM(D28:W28)</f>
        <v>-1021953977.8400002</v>
      </c>
      <c r="Y28" s="35">
        <f>X28-'ZZwFJ 31.12.2018'!D32</f>
        <v>-1021953977.8400002</v>
      </c>
    </row>
    <row r="29" spans="1:25" s="7" customFormat="1" ht="10.5">
      <c r="A29" s="51">
        <v>27</v>
      </c>
      <c r="B29" s="45" t="s">
        <v>122</v>
      </c>
      <c r="C29" s="46" t="s">
        <v>282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14">
        <v>0</v>
      </c>
      <c r="T29" s="14">
        <v>0</v>
      </c>
      <c r="U29" s="14">
        <v>0</v>
      </c>
      <c r="V29" s="14">
        <v>0</v>
      </c>
      <c r="W29" s="30"/>
      <c r="X29" s="14">
        <f>SUM(D29:W29)</f>
        <v>0</v>
      </c>
      <c r="Y29" s="35">
        <f>X29-'ZZwFJ 31.12.2018'!D33</f>
        <v>0</v>
      </c>
    </row>
    <row r="30" spans="1:25" s="11" customFormat="1" ht="10.5">
      <c r="A30" s="52">
        <v>28</v>
      </c>
      <c r="B30" s="8" t="s">
        <v>126</v>
      </c>
      <c r="C30" s="9" t="s">
        <v>283</v>
      </c>
      <c r="D30" s="16">
        <v>423784401.75</v>
      </c>
      <c r="E30" s="16">
        <v>649737352.96000004</v>
      </c>
      <c r="F30" s="16">
        <v>786955096.36000001</v>
      </c>
      <c r="G30" s="16">
        <v>734236096.28999996</v>
      </c>
      <c r="H30" s="16">
        <v>1553207318.3499999</v>
      </c>
      <c r="I30" s="16">
        <v>140072018.69</v>
      </c>
      <c r="J30" s="16">
        <v>647672891.20000005</v>
      </c>
      <c r="K30" s="16">
        <v>156286223.81999999</v>
      </c>
      <c r="L30" s="16">
        <v>198262416.21000001</v>
      </c>
      <c r="M30" s="16">
        <v>1241064671</v>
      </c>
      <c r="N30" s="16">
        <v>456128025.92000002</v>
      </c>
      <c r="O30" s="16">
        <v>389353444.18000001</v>
      </c>
      <c r="P30" s="16">
        <v>672445620.05999994</v>
      </c>
      <c r="Q30" s="16">
        <v>404677482.35000002</v>
      </c>
      <c r="R30" s="16">
        <v>255152305.24000001</v>
      </c>
      <c r="S30" s="16">
        <v>602291778.07000005</v>
      </c>
      <c r="T30" s="16">
        <v>303280073.27999997</v>
      </c>
      <c r="U30" s="16">
        <v>284929635.63</v>
      </c>
      <c r="V30" s="16">
        <v>381811446.41000003</v>
      </c>
      <c r="W30" s="16">
        <f>W25+W26</f>
        <v>0</v>
      </c>
      <c r="X30" s="16">
        <f>X25+X26</f>
        <v>10281348297.770012</v>
      </c>
      <c r="Y30" s="35">
        <f>X30-'ZZwFJ 31.12.2018'!D34</f>
        <v>1.52587890625E-5</v>
      </c>
    </row>
    <row r="31" spans="1:25" s="11" customFormat="1" ht="12.75">
      <c r="A31" s="47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</row>
    <row r="33" spans="2:25">
      <c r="B33" t="s">
        <v>198</v>
      </c>
      <c r="D33" s="24">
        <f>D3-'ZZwFJ BO'!C25</f>
        <v>0</v>
      </c>
      <c r="E33" s="24">
        <f>E3-'ZZwFJ BO'!D25</f>
        <v>0</v>
      </c>
      <c r="F33" s="24">
        <f>F3-'ZZwFJ BO'!E25</f>
        <v>0</v>
      </c>
      <c r="G33" s="24">
        <f>G3-'ZZwFJ BO'!F25</f>
        <v>0</v>
      </c>
      <c r="H33" s="24">
        <f>H3-'ZZwFJ BO'!G25</f>
        <v>0</v>
      </c>
      <c r="I33" s="24">
        <f>I3-'ZZwFJ BO'!H25</f>
        <v>0</v>
      </c>
      <c r="J33" s="24">
        <f>J3-'ZZwFJ BO'!I25</f>
        <v>0</v>
      </c>
      <c r="K33" s="24">
        <f>K3-'ZZwFJ BO'!J25</f>
        <v>0</v>
      </c>
      <c r="L33" s="24">
        <f>L3-'ZZwFJ BO'!K25</f>
        <v>0</v>
      </c>
      <c r="M33" s="24">
        <f>M3-'ZZwFJ BO'!L25</f>
        <v>0</v>
      </c>
      <c r="N33" s="24">
        <f>N3-'ZZwFJ BO'!M25</f>
        <v>0</v>
      </c>
      <c r="O33" s="24">
        <f>O3-'ZZwFJ BO'!N25</f>
        <v>0</v>
      </c>
      <c r="P33" s="24">
        <f>P3-'ZZwFJ BO'!O25</f>
        <v>0</v>
      </c>
      <c r="Q33" s="24">
        <f>Q3-'ZZwFJ BO'!P25</f>
        <v>0</v>
      </c>
      <c r="R33" s="24">
        <f>R3-'ZZwFJ BO'!Q25</f>
        <v>0</v>
      </c>
      <c r="S33" s="24">
        <f>S3-'ZZwFJ BO'!R25</f>
        <v>0</v>
      </c>
      <c r="T33" s="24">
        <f>T3-'ZZwFJ BO'!S25</f>
        <v>0</v>
      </c>
      <c r="U33" s="24">
        <f>U3-'ZZwFJ BO'!T25</f>
        <v>0</v>
      </c>
      <c r="V33" s="24">
        <f>V3-'ZZwFJ BO'!U25</f>
        <v>0</v>
      </c>
      <c r="W33" s="24">
        <f>W3-'ZZwFJ BO'!V25</f>
        <v>0</v>
      </c>
      <c r="X33" s="24">
        <f>X3-'ZZwFJ BO'!W25</f>
        <v>0</v>
      </c>
      <c r="Y33" s="24">
        <f>SUM(D33:W33)</f>
        <v>0</v>
      </c>
    </row>
    <row r="34" spans="2:25">
      <c r="B34" s="17" t="s">
        <v>284</v>
      </c>
      <c r="C34" s="24"/>
      <c r="D34" s="24">
        <f>D5-'ZZwFJ BO'!C27</f>
        <v>0</v>
      </c>
      <c r="E34" s="24">
        <f>E5-'ZZwFJ BO'!D27</f>
        <v>0</v>
      </c>
      <c r="F34" s="24">
        <f>F5-'ZZwFJ BO'!E27</f>
        <v>0</v>
      </c>
      <c r="G34" s="24">
        <f>G5-'ZZwFJ BO'!F27</f>
        <v>0</v>
      </c>
      <c r="H34" s="24">
        <f>H5-'ZZwFJ BO'!G27</f>
        <v>0</v>
      </c>
      <c r="I34" s="24">
        <f>I5-'ZZwFJ BO'!H27</f>
        <v>0</v>
      </c>
      <c r="J34" s="24">
        <f>J5-'ZZwFJ BO'!I27</f>
        <v>0</v>
      </c>
      <c r="K34" s="24">
        <f>K5-'ZZwFJ BO'!J27</f>
        <v>0</v>
      </c>
      <c r="L34" s="24">
        <f>L5-'ZZwFJ BO'!K27</f>
        <v>0</v>
      </c>
      <c r="M34" s="24">
        <f>M5-'ZZwFJ BO'!L27</f>
        <v>0</v>
      </c>
      <c r="N34" s="24">
        <f>N5-'ZZwFJ BO'!M27</f>
        <v>0</v>
      </c>
      <c r="O34" s="24">
        <f>O5-'ZZwFJ BO'!N27</f>
        <v>0</v>
      </c>
      <c r="P34" s="24">
        <f>P5-'ZZwFJ BO'!O27</f>
        <v>0</v>
      </c>
      <c r="Q34" s="24">
        <f>Q5-'ZZwFJ BO'!P27</f>
        <v>0</v>
      </c>
      <c r="R34" s="24">
        <f>R5-'ZZwFJ BO'!Q27</f>
        <v>0</v>
      </c>
      <c r="S34" s="24">
        <f>S5-'ZZwFJ BO'!R27</f>
        <v>0</v>
      </c>
      <c r="T34" s="24">
        <f>T5-'ZZwFJ BO'!S27</f>
        <v>0</v>
      </c>
      <c r="U34" s="24">
        <f>U5-'ZZwFJ BO'!T27</f>
        <v>0</v>
      </c>
      <c r="V34" s="24">
        <f>V5-'ZZwFJ BO'!U27</f>
        <v>0</v>
      </c>
      <c r="W34" s="24">
        <f>W5-'ZZwFJ BO'!V27</f>
        <v>0</v>
      </c>
      <c r="X34" s="24">
        <f>X5-'ZZwFJ BO'!W27</f>
        <v>0</v>
      </c>
      <c r="Y34" s="24">
        <f>SUM(D34:W34)</f>
        <v>0</v>
      </c>
    </row>
    <row r="35" spans="2:25">
      <c r="B35" t="s">
        <v>285</v>
      </c>
      <c r="C35" s="24"/>
      <c r="D35" s="24">
        <f>D16+'ZZwFJ BO'!C28</f>
        <v>0</v>
      </c>
      <c r="E35" s="24">
        <f>E16+'ZZwFJ BO'!D28</f>
        <v>0</v>
      </c>
      <c r="F35" s="24">
        <f>F16+'ZZwFJ BO'!E28</f>
        <v>0</v>
      </c>
      <c r="G35" s="24">
        <f>G16+'ZZwFJ BO'!F28</f>
        <v>0</v>
      </c>
      <c r="H35" s="24">
        <f>H16+'ZZwFJ BO'!G28</f>
        <v>0</v>
      </c>
      <c r="I35" s="24">
        <f>I16+'ZZwFJ BO'!H28</f>
        <v>0</v>
      </c>
      <c r="J35" s="24">
        <f>J16+'ZZwFJ BO'!I28</f>
        <v>0</v>
      </c>
      <c r="K35" s="24">
        <f>K16+'ZZwFJ BO'!J28</f>
        <v>0</v>
      </c>
      <c r="L35" s="24">
        <f>L16+'ZZwFJ BO'!K28</f>
        <v>0</v>
      </c>
      <c r="M35" s="24">
        <f>M16+'ZZwFJ BO'!L28</f>
        <v>0</v>
      </c>
      <c r="N35" s="24">
        <f>N16+'ZZwFJ BO'!M28</f>
        <v>0</v>
      </c>
      <c r="O35" s="24">
        <f>O16+'ZZwFJ BO'!N28</f>
        <v>0</v>
      </c>
      <c r="P35" s="24">
        <f>P16+'ZZwFJ BO'!O28</f>
        <v>0</v>
      </c>
      <c r="Q35" s="24">
        <f>Q16+'ZZwFJ BO'!P28</f>
        <v>0</v>
      </c>
      <c r="R35" s="24">
        <f>R16+'ZZwFJ BO'!Q28</f>
        <v>0</v>
      </c>
      <c r="S35" s="24">
        <f>S16+'ZZwFJ BO'!R28</f>
        <v>0</v>
      </c>
      <c r="T35" s="24">
        <f>T16+'ZZwFJ BO'!S28</f>
        <v>0</v>
      </c>
      <c r="U35" s="24">
        <f>U16+'ZZwFJ BO'!T28</f>
        <v>0</v>
      </c>
      <c r="V35" s="24">
        <f>V16+'ZZwFJ BO'!U28</f>
        <v>0</v>
      </c>
      <c r="W35" s="24">
        <f>W16+'ZZwFJ BO'!V28</f>
        <v>0</v>
      </c>
      <c r="X35" s="24">
        <f>X16+'ZZwFJ BO'!W28</f>
        <v>0</v>
      </c>
      <c r="Y35" s="24">
        <f>SUM(D35:W35)</f>
        <v>0</v>
      </c>
    </row>
    <row r="36" spans="2:25">
      <c r="B36" t="s">
        <v>286</v>
      </c>
      <c r="D36" s="24">
        <f>D18-'ZZwFJ BO'!C29</f>
        <v>0</v>
      </c>
      <c r="E36" s="24">
        <f>E18-'ZZwFJ BO'!D29</f>
        <v>0</v>
      </c>
      <c r="F36" s="24">
        <f>F18-'ZZwFJ BO'!E29</f>
        <v>0</v>
      </c>
      <c r="G36" s="24">
        <f>G18-'ZZwFJ BO'!F29</f>
        <v>0</v>
      </c>
      <c r="H36" s="24">
        <f>H18-'ZZwFJ BO'!G29</f>
        <v>0</v>
      </c>
      <c r="I36" s="24">
        <f>I18-'ZZwFJ BO'!H29</f>
        <v>0</v>
      </c>
      <c r="J36" s="24">
        <f>J18-'ZZwFJ BO'!I29</f>
        <v>0</v>
      </c>
      <c r="K36" s="24">
        <f>K18-'ZZwFJ BO'!J29</f>
        <v>0</v>
      </c>
      <c r="L36" s="24">
        <f>L18-'ZZwFJ BO'!K29</f>
        <v>0</v>
      </c>
      <c r="M36" s="24">
        <f>M18-'ZZwFJ BO'!L29</f>
        <v>0</v>
      </c>
      <c r="N36" s="24">
        <f>N18-'ZZwFJ BO'!M29</f>
        <v>0</v>
      </c>
      <c r="O36" s="24">
        <f>O18-'ZZwFJ BO'!N29</f>
        <v>0</v>
      </c>
      <c r="P36" s="24">
        <f>P18-'ZZwFJ BO'!O29</f>
        <v>0</v>
      </c>
      <c r="Q36" s="24">
        <f>Q18-'ZZwFJ BO'!P29</f>
        <v>0</v>
      </c>
      <c r="R36" s="24">
        <f>R18-'ZZwFJ BO'!Q29</f>
        <v>0</v>
      </c>
      <c r="S36" s="24">
        <f>S18-'ZZwFJ BO'!R29</f>
        <v>0</v>
      </c>
      <c r="T36" s="24">
        <f>T18-'ZZwFJ BO'!S29</f>
        <v>0</v>
      </c>
      <c r="U36" s="24">
        <f>U18-'ZZwFJ BO'!T29</f>
        <v>0</v>
      </c>
      <c r="V36" s="24">
        <f>V18-'ZZwFJ BO'!U29</f>
        <v>0</v>
      </c>
      <c r="W36" s="24">
        <f>W18-'ZZwFJ BO'!V29</f>
        <v>0</v>
      </c>
      <c r="X36" s="24">
        <f>X18-'ZZwFJ BO'!W29</f>
        <v>0</v>
      </c>
      <c r="Y36" s="24">
        <f>SUM(D36:W36)</f>
        <v>0</v>
      </c>
    </row>
    <row r="38" spans="2:25">
      <c r="B38" t="s">
        <v>287</v>
      </c>
      <c r="D38" s="24">
        <f>D30-'Pasywa BZ'!C3</f>
        <v>0</v>
      </c>
      <c r="E38" s="24">
        <f>E30-'Pasywa BZ'!D3</f>
        <v>0</v>
      </c>
      <c r="F38" s="24">
        <f>F30-'Pasywa BZ'!E3</f>
        <v>0</v>
      </c>
      <c r="G38" s="24">
        <f>G30-'Pasywa BZ'!F3</f>
        <v>0</v>
      </c>
      <c r="H38" s="24">
        <f>H30-'Pasywa BZ'!G3</f>
        <v>0</v>
      </c>
      <c r="I38" s="24">
        <f>I30-'Pasywa BZ'!H3</f>
        <v>0</v>
      </c>
      <c r="J38" s="24">
        <f>J30-'Pasywa BZ'!I3</f>
        <v>0</v>
      </c>
      <c r="K38" s="24">
        <f>K30-'Pasywa BZ'!J3</f>
        <v>0</v>
      </c>
      <c r="L38" s="24">
        <f>L30-'Pasywa BZ'!K3</f>
        <v>0</v>
      </c>
      <c r="M38" s="24">
        <f>M30-'Pasywa BZ'!L3</f>
        <v>0</v>
      </c>
      <c r="N38" s="24">
        <f>N30-'Pasywa BZ'!M3</f>
        <v>0</v>
      </c>
      <c r="O38" s="24">
        <f>O30-'Pasywa BZ'!N3</f>
        <v>0</v>
      </c>
      <c r="P38" s="24">
        <f>P30-'Pasywa BZ'!O3</f>
        <v>0</v>
      </c>
      <c r="Q38" s="24">
        <f>Q30-'Pasywa BZ'!P3</f>
        <v>0</v>
      </c>
      <c r="R38" s="24">
        <f>R30-'Pasywa BZ'!Q3</f>
        <v>0</v>
      </c>
      <c r="S38" s="24">
        <f>S30-'Pasywa BZ'!R3</f>
        <v>0</v>
      </c>
      <c r="T38" s="24">
        <f>T30-'Pasywa BZ'!S3</f>
        <v>0</v>
      </c>
      <c r="U38" s="24">
        <f>U30-'Pasywa BZ'!T3</f>
        <v>0</v>
      </c>
      <c r="V38" s="24">
        <f>V30-'Pasywa BZ'!U3</f>
        <v>0</v>
      </c>
      <c r="W38" s="24">
        <f>W30-'Pasywa BZ'!V3</f>
        <v>0</v>
      </c>
      <c r="X38" s="24">
        <f>X30-'Pasywa BZ'!W3</f>
        <v>0</v>
      </c>
    </row>
    <row r="40" spans="2:25">
      <c r="D40" s="24">
        <f>D3+D4-D15-D25</f>
        <v>0</v>
      </c>
      <c r="E40" s="24">
        <f t="shared" ref="E40:R40" si="2">E3+E4-E15-E25</f>
        <v>0</v>
      </c>
      <c r="F40" s="24">
        <f t="shared" si="2"/>
        <v>0</v>
      </c>
      <c r="G40" s="24">
        <f t="shared" si="2"/>
        <v>0</v>
      </c>
      <c r="H40" s="24">
        <f t="shared" si="2"/>
        <v>0</v>
      </c>
      <c r="I40" s="24">
        <f t="shared" si="2"/>
        <v>-8.9406967163085938E-7</v>
      </c>
      <c r="J40" s="24">
        <f t="shared" si="2"/>
        <v>0</v>
      </c>
      <c r="K40" s="24">
        <f t="shared" si="2"/>
        <v>0</v>
      </c>
      <c r="L40" s="24">
        <f t="shared" si="2"/>
        <v>0</v>
      </c>
      <c r="M40" s="24">
        <f t="shared" si="2"/>
        <v>0</v>
      </c>
      <c r="N40" s="24">
        <f t="shared" si="2"/>
        <v>0</v>
      </c>
      <c r="O40" s="24">
        <f t="shared" si="2"/>
        <v>0</v>
      </c>
      <c r="P40" s="24">
        <f t="shared" si="2"/>
        <v>0</v>
      </c>
      <c r="Q40" s="24">
        <f t="shared" si="2"/>
        <v>0</v>
      </c>
      <c r="R40" s="24">
        <f t="shared" si="2"/>
        <v>0</v>
      </c>
      <c r="S40" s="24">
        <f t="shared" ref="S40:X40" si="3">S3+S4-S15-S25</f>
        <v>0</v>
      </c>
      <c r="T40" s="24">
        <f t="shared" si="3"/>
        <v>0</v>
      </c>
      <c r="U40" s="24">
        <f t="shared" si="3"/>
        <v>-1.3113021850585938E-6</v>
      </c>
      <c r="V40" s="24">
        <f t="shared" si="3"/>
        <v>-4.76837158203125E-7</v>
      </c>
      <c r="W40" s="24">
        <f t="shared" si="3"/>
        <v>1.862645149230957E-9</v>
      </c>
      <c r="X40" s="24">
        <f t="shared" si="3"/>
        <v>0</v>
      </c>
    </row>
    <row r="42" spans="2:25">
      <c r="D42" s="24"/>
    </row>
  </sheetData>
  <conditionalFormatting sqref="D40:X40 D38:X38 D33:Y36">
    <cfRule type="cellIs" dxfId="2" priority="7" operator="notEqual">
      <formula>0</formula>
    </cfRule>
  </conditionalFormatting>
  <conditionalFormatting sqref="D28:W28">
    <cfRule type="cellIs" dxfId="1" priority="6" operator="greaterThan">
      <formula>0</formula>
    </cfRule>
  </conditionalFormatting>
  <conditionalFormatting sqref="D42">
    <cfRule type="cellIs" dxfId="0" priority="1" operator="notEqual">
      <formula>0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opLeftCell="A7" workbookViewId="0">
      <selection activeCell="B47" sqref="B47"/>
    </sheetView>
  </sheetViews>
  <sheetFormatPr defaultRowHeight="15"/>
  <cols>
    <col min="1" max="1" width="40.85546875" customWidth="1"/>
    <col min="2" max="2" width="19.42578125" customWidth="1"/>
    <col min="3" max="3" width="18.85546875" customWidth="1"/>
    <col min="4" max="4" width="19.140625" customWidth="1"/>
    <col min="5" max="5" width="20.5703125" customWidth="1"/>
    <col min="6" max="6" width="16.5703125" customWidth="1"/>
    <col min="7" max="7" width="15.5703125" customWidth="1"/>
    <col min="8" max="8" width="17.85546875" customWidth="1"/>
    <col min="9" max="9" width="24" customWidth="1"/>
  </cols>
  <sheetData>
    <row r="1" spans="1:9" ht="15.75" thickBot="1">
      <c r="A1" s="272">
        <v>43465</v>
      </c>
      <c r="B1" s="273" t="e">
        <f>#REF!-#REF!</f>
        <v>#REF!</v>
      </c>
      <c r="C1" s="273" t="e">
        <f t="shared" ref="C1" si="0">#REF!-#REF!</f>
        <v>#REF!</v>
      </c>
      <c r="D1" s="273" t="e">
        <f t="shared" ref="D1" si="1">#REF!-#REF!</f>
        <v>#REF!</v>
      </c>
      <c r="E1" s="273" t="e">
        <f t="shared" ref="E1" si="2">#REF!-#REF!</f>
        <v>#REF!</v>
      </c>
      <c r="F1" s="273" t="e">
        <f t="shared" ref="F1" si="3">#REF!-#REF!</f>
        <v>#REF!</v>
      </c>
      <c r="G1" s="273" t="e">
        <f t="shared" ref="G1" si="4">#REF!-#REF!</f>
        <v>#REF!</v>
      </c>
      <c r="H1" s="273" t="e">
        <f t="shared" ref="H1" si="5">#REF!-#REF!</f>
        <v>#REF!</v>
      </c>
      <c r="I1" s="273" t="e">
        <f t="shared" ref="I1" si="6">#REF!-#REF!</f>
        <v>#REF!</v>
      </c>
    </row>
    <row r="2" spans="1:9">
      <c r="A2" s="53"/>
      <c r="B2" s="293" t="s">
        <v>288</v>
      </c>
      <c r="C2" s="294"/>
      <c r="D2" s="294"/>
      <c r="E2" s="294"/>
      <c r="F2" s="294"/>
      <c r="G2" s="295"/>
      <c r="H2" s="54"/>
      <c r="I2" s="55"/>
    </row>
    <row r="3" spans="1:9">
      <c r="A3" s="296" t="s">
        <v>289</v>
      </c>
      <c r="B3" s="298" t="s">
        <v>78</v>
      </c>
      <c r="C3" s="56" t="s">
        <v>290</v>
      </c>
      <c r="D3" s="298" t="s">
        <v>113</v>
      </c>
      <c r="E3" s="298" t="s">
        <v>115</v>
      </c>
      <c r="F3" s="298" t="s">
        <v>117</v>
      </c>
      <c r="G3" s="298" t="s">
        <v>119</v>
      </c>
      <c r="H3" s="298" t="s">
        <v>291</v>
      </c>
      <c r="I3" s="300" t="s">
        <v>292</v>
      </c>
    </row>
    <row r="4" spans="1:9" ht="96">
      <c r="A4" s="297"/>
      <c r="B4" s="299"/>
      <c r="C4" s="57" t="s">
        <v>312</v>
      </c>
      <c r="D4" s="299"/>
      <c r="E4" s="299"/>
      <c r="F4" s="299"/>
      <c r="G4" s="299"/>
      <c r="H4" s="299"/>
      <c r="I4" s="301"/>
    </row>
    <row r="5" spans="1:9">
      <c r="A5" s="284" t="s">
        <v>293</v>
      </c>
      <c r="B5" s="285"/>
      <c r="C5" s="285"/>
      <c r="D5" s="285"/>
      <c r="E5" s="285"/>
      <c r="F5" s="285"/>
      <c r="G5" s="285"/>
      <c r="H5" s="285"/>
      <c r="I5" s="286"/>
    </row>
    <row r="6" spans="1:9">
      <c r="A6" s="58" t="s">
        <v>294</v>
      </c>
      <c r="B6" s="59">
        <v>45496265064.110001</v>
      </c>
      <c r="C6" s="60">
        <v>0</v>
      </c>
      <c r="D6" s="59">
        <v>3745491210.3600001</v>
      </c>
      <c r="E6" s="59">
        <v>234318520.94999999</v>
      </c>
      <c r="F6" s="59">
        <v>8780697.9000000004</v>
      </c>
      <c r="G6" s="59">
        <v>177770388.02000001</v>
      </c>
      <c r="H6" s="59">
        <v>885497222.39999998</v>
      </c>
      <c r="I6" s="61">
        <f>B6+SUM(D6:H6)</f>
        <v>50548123103.739998</v>
      </c>
    </row>
    <row r="7" spans="1:9">
      <c r="A7" s="62" t="s">
        <v>295</v>
      </c>
      <c r="B7" s="10">
        <f>SUM(B8:B10)</f>
        <v>7755952246.3999996</v>
      </c>
      <c r="C7" s="10">
        <f t="shared" ref="C7:H7" si="7">SUM(C8:C10)</f>
        <v>5489651753.3100004</v>
      </c>
      <c r="D7" s="10">
        <f t="shared" si="7"/>
        <v>188378392.69</v>
      </c>
      <c r="E7" s="10">
        <f t="shared" si="7"/>
        <v>18599656.619999997</v>
      </c>
      <c r="F7" s="10">
        <f t="shared" si="7"/>
        <v>858720.5</v>
      </c>
      <c r="G7" s="10">
        <f t="shared" si="7"/>
        <v>21659172.949999999</v>
      </c>
      <c r="H7" s="10">
        <f t="shared" si="7"/>
        <v>452900553.38</v>
      </c>
      <c r="I7" s="63">
        <f>SUM(I8:I10)</f>
        <v>8438348742.54</v>
      </c>
    </row>
    <row r="8" spans="1:9">
      <c r="A8" s="64" t="s">
        <v>296</v>
      </c>
      <c r="B8" s="65">
        <v>47187052.950000003</v>
      </c>
      <c r="C8" s="65">
        <v>1821584</v>
      </c>
      <c r="D8" s="65">
        <v>1202627.8999999999</v>
      </c>
      <c r="E8" s="65">
        <v>493681.29</v>
      </c>
      <c r="F8" s="65">
        <v>0</v>
      </c>
      <c r="G8" s="65">
        <v>9681127.5299999993</v>
      </c>
      <c r="H8" s="65">
        <v>357220640.56999999</v>
      </c>
      <c r="I8" s="66">
        <f>B8+SUM(D8:H8)</f>
        <v>415785130.23999995</v>
      </c>
    </row>
    <row r="9" spans="1:9">
      <c r="A9" s="64" t="s">
        <v>297</v>
      </c>
      <c r="B9" s="65">
        <v>7688620334.6999998</v>
      </c>
      <c r="C9" s="65">
        <v>5487830169.3100004</v>
      </c>
      <c r="D9" s="65">
        <v>49977662.740000002</v>
      </c>
      <c r="E9" s="65">
        <v>1269597.8799999999</v>
      </c>
      <c r="F9" s="65">
        <v>0</v>
      </c>
      <c r="G9" s="65">
        <v>8393108.0099999998</v>
      </c>
      <c r="H9" s="65">
        <v>274302908.97000003</v>
      </c>
      <c r="I9" s="66">
        <f>B9+SUM(D9:H9)</f>
        <v>8022563612.3000002</v>
      </c>
    </row>
    <row r="10" spans="1:9">
      <c r="A10" s="64" t="s">
        <v>298</v>
      </c>
      <c r="B10" s="65">
        <v>20144858.75</v>
      </c>
      <c r="C10" s="65">
        <v>0</v>
      </c>
      <c r="D10" s="65">
        <v>137198102.05000001</v>
      </c>
      <c r="E10" s="65">
        <v>16836377.449999999</v>
      </c>
      <c r="F10" s="65">
        <v>858720.5</v>
      </c>
      <c r="G10" s="65">
        <v>3584937.41</v>
      </c>
      <c r="H10" s="65">
        <v>-178622996.16</v>
      </c>
      <c r="I10" s="66">
        <f>B10+SUM(D10:H10)</f>
        <v>0</v>
      </c>
    </row>
    <row r="11" spans="1:9">
      <c r="A11" s="62" t="s">
        <v>299</v>
      </c>
      <c r="B11" s="10">
        <f>SUM(B12:B13)</f>
        <v>45445288108.970001</v>
      </c>
      <c r="C11" s="10">
        <f t="shared" ref="C11:H11" si="8">SUM(C12:C13)</f>
        <v>5114526012.9399996</v>
      </c>
      <c r="D11" s="10">
        <f t="shared" si="8"/>
        <v>145313871.34</v>
      </c>
      <c r="E11" s="10">
        <f t="shared" si="8"/>
        <v>8281527.6299999999</v>
      </c>
      <c r="F11" s="10">
        <f t="shared" si="8"/>
        <v>397501.76</v>
      </c>
      <c r="G11" s="10">
        <f t="shared" si="8"/>
        <v>13016360.52</v>
      </c>
      <c r="H11" s="10">
        <f t="shared" si="8"/>
        <v>310076895.06</v>
      </c>
      <c r="I11" s="63">
        <f>SUM(I12:I13)</f>
        <v>45922374265.279999</v>
      </c>
    </row>
    <row r="12" spans="1:9">
      <c r="A12" s="64" t="s">
        <v>300</v>
      </c>
      <c r="B12" s="65">
        <v>3984622.41</v>
      </c>
      <c r="C12" s="65">
        <v>2747257.96</v>
      </c>
      <c r="D12" s="65">
        <v>1032243.77</v>
      </c>
      <c r="E12" s="65">
        <v>6498115.2699999996</v>
      </c>
      <c r="F12" s="65">
        <v>397501.76</v>
      </c>
      <c r="G12" s="65">
        <v>5404082.1600000001</v>
      </c>
      <c r="H12" s="65">
        <v>0</v>
      </c>
      <c r="I12" s="66">
        <f t="shared" ref="I12:I13" si="9">B12+SUM(D12:H12)</f>
        <v>17316565.369999997</v>
      </c>
    </row>
    <row r="13" spans="1:9">
      <c r="A13" s="64" t="s">
        <v>297</v>
      </c>
      <c r="B13" s="65">
        <v>45441303486.559998</v>
      </c>
      <c r="C13" s="65">
        <v>5111778754.9799995</v>
      </c>
      <c r="D13" s="65">
        <v>144281627.56999999</v>
      </c>
      <c r="E13" s="65">
        <v>1783412.36</v>
      </c>
      <c r="F13" s="65">
        <v>0</v>
      </c>
      <c r="G13" s="65">
        <v>7612278.3600000003</v>
      </c>
      <c r="H13" s="65">
        <v>310076895.06</v>
      </c>
      <c r="I13" s="66">
        <f t="shared" si="9"/>
        <v>45905057699.909996</v>
      </c>
    </row>
    <row r="14" spans="1:9">
      <c r="A14" s="62" t="s">
        <v>301</v>
      </c>
      <c r="B14" s="10">
        <f>B6+B7-B11</f>
        <v>7806929201.5400009</v>
      </c>
      <c r="C14" s="10">
        <f t="shared" ref="C14:I14" si="10">C6+C7-C11</f>
        <v>375125740.37000084</v>
      </c>
      <c r="D14" s="10">
        <f t="shared" si="10"/>
        <v>3788555731.71</v>
      </c>
      <c r="E14" s="10">
        <f t="shared" si="10"/>
        <v>244636649.94</v>
      </c>
      <c r="F14" s="10">
        <f t="shared" si="10"/>
        <v>9241916.6400000006</v>
      </c>
      <c r="G14" s="10">
        <f t="shared" si="10"/>
        <v>186413200.44999999</v>
      </c>
      <c r="H14" s="10">
        <f t="shared" si="10"/>
        <v>1028320880.72</v>
      </c>
      <c r="I14" s="63">
        <f t="shared" si="10"/>
        <v>13064097581</v>
      </c>
    </row>
    <row r="15" spans="1:9">
      <c r="A15" s="287" t="s">
        <v>302</v>
      </c>
      <c r="B15" s="288"/>
      <c r="C15" s="288"/>
      <c r="D15" s="288"/>
      <c r="E15" s="288"/>
      <c r="F15" s="288"/>
      <c r="G15" s="288"/>
      <c r="H15" s="288"/>
      <c r="I15" s="289"/>
    </row>
    <row r="16" spans="1:9">
      <c r="A16" s="58" t="s">
        <v>303</v>
      </c>
      <c r="B16" s="59">
        <v>118755755.73999999</v>
      </c>
      <c r="C16" s="60">
        <v>0</v>
      </c>
      <c r="D16" s="59">
        <v>1374918510.49</v>
      </c>
      <c r="E16" s="59">
        <v>190965735.88999999</v>
      </c>
      <c r="F16" s="59">
        <v>8211760.0300000003</v>
      </c>
      <c r="G16" s="59">
        <v>145944892.91</v>
      </c>
      <c r="H16" s="59">
        <v>2712666.33</v>
      </c>
      <c r="I16" s="61">
        <f>B16+SUM(D16:H16)</f>
        <v>1841509321.3900001</v>
      </c>
    </row>
    <row r="17" spans="1:9">
      <c r="A17" s="62" t="s">
        <v>295</v>
      </c>
      <c r="B17" s="10">
        <f>SUM(B18:B20)</f>
        <v>15273006.359999999</v>
      </c>
      <c r="C17" s="10">
        <f t="shared" ref="C17:I17" si="11">SUM(C18:C20)</f>
        <v>0</v>
      </c>
      <c r="D17" s="10">
        <f t="shared" si="11"/>
        <v>118304939.89999999</v>
      </c>
      <c r="E17" s="10">
        <f t="shared" si="11"/>
        <v>17709755.41</v>
      </c>
      <c r="F17" s="10">
        <f t="shared" si="11"/>
        <v>202767.66</v>
      </c>
      <c r="G17" s="10">
        <f t="shared" si="11"/>
        <v>16581991.849999998</v>
      </c>
      <c r="H17" s="10">
        <f t="shared" si="11"/>
        <v>0</v>
      </c>
      <c r="I17" s="63">
        <f t="shared" si="11"/>
        <v>168072461.18000001</v>
      </c>
    </row>
    <row r="18" spans="1:9">
      <c r="A18" s="64" t="s">
        <v>304</v>
      </c>
      <c r="B18" s="65">
        <v>4243995.09</v>
      </c>
      <c r="C18" s="65">
        <v>0</v>
      </c>
      <c r="D18" s="65">
        <v>121264409.70999999</v>
      </c>
      <c r="E18" s="65">
        <v>16517944.99</v>
      </c>
      <c r="F18" s="65">
        <v>202767.66</v>
      </c>
      <c r="G18" s="65">
        <v>4430838.3099999996</v>
      </c>
      <c r="H18" s="65">
        <v>0</v>
      </c>
      <c r="I18" s="66">
        <f>B18+SUM(D18:H18)</f>
        <v>146659955.75999999</v>
      </c>
    </row>
    <row r="19" spans="1:9">
      <c r="A19" s="64" t="s">
        <v>297</v>
      </c>
      <c r="B19" s="65">
        <v>7247246.1600000001</v>
      </c>
      <c r="C19" s="65">
        <v>0</v>
      </c>
      <c r="D19" s="65">
        <v>822295.3</v>
      </c>
      <c r="E19" s="65">
        <v>1191810.42</v>
      </c>
      <c r="F19" s="65">
        <v>0</v>
      </c>
      <c r="G19" s="65">
        <v>12151153.539999999</v>
      </c>
      <c r="H19" s="65">
        <v>0</v>
      </c>
      <c r="I19" s="66">
        <f t="shared" ref="I19:I23" si="12">B19+SUM(D19:H19)</f>
        <v>21412505.420000002</v>
      </c>
    </row>
    <row r="20" spans="1:9">
      <c r="A20" s="64" t="s">
        <v>298</v>
      </c>
      <c r="B20" s="65">
        <v>3781765.11</v>
      </c>
      <c r="C20" s="65">
        <v>0</v>
      </c>
      <c r="D20" s="65">
        <v>-3781765.11</v>
      </c>
      <c r="E20" s="65">
        <v>0</v>
      </c>
      <c r="F20" s="65">
        <v>0</v>
      </c>
      <c r="G20" s="65">
        <v>0</v>
      </c>
      <c r="H20" s="65">
        <v>0</v>
      </c>
      <c r="I20" s="66">
        <f t="shared" si="12"/>
        <v>0</v>
      </c>
    </row>
    <row r="21" spans="1:9">
      <c r="A21" s="62" t="s">
        <v>299</v>
      </c>
      <c r="B21" s="10">
        <f>SUM(B22:B23)</f>
        <v>96382081.859999999</v>
      </c>
      <c r="C21" s="10">
        <f t="shared" ref="C21:I21" si="13">SUM(C22:C23)</f>
        <v>0</v>
      </c>
      <c r="D21" s="10">
        <f t="shared" si="13"/>
        <v>38210015.690000005</v>
      </c>
      <c r="E21" s="10">
        <f t="shared" si="13"/>
        <v>7832344.9300000006</v>
      </c>
      <c r="F21" s="10">
        <f t="shared" si="13"/>
        <v>397501.76</v>
      </c>
      <c r="G21" s="10">
        <f t="shared" si="13"/>
        <v>8673904.2100000009</v>
      </c>
      <c r="H21" s="10">
        <f t="shared" si="13"/>
        <v>0</v>
      </c>
      <c r="I21" s="63">
        <f t="shared" si="13"/>
        <v>151495848.45000002</v>
      </c>
    </row>
    <row r="22" spans="1:9">
      <c r="A22" s="64" t="s">
        <v>300</v>
      </c>
      <c r="B22" s="65">
        <v>0</v>
      </c>
      <c r="C22" s="65">
        <v>0</v>
      </c>
      <c r="D22" s="65">
        <v>1058416.1000000001</v>
      </c>
      <c r="E22" s="65">
        <v>6351627.5700000003</v>
      </c>
      <c r="F22" s="65">
        <v>292780.19</v>
      </c>
      <c r="G22" s="65">
        <v>5649172.6600000001</v>
      </c>
      <c r="H22" s="65">
        <v>0</v>
      </c>
      <c r="I22" s="66">
        <f t="shared" si="12"/>
        <v>13351996.52</v>
      </c>
    </row>
    <row r="23" spans="1:9">
      <c r="A23" s="64" t="s">
        <v>297</v>
      </c>
      <c r="B23" s="65">
        <v>96382081.859999999</v>
      </c>
      <c r="C23" s="65">
        <v>0</v>
      </c>
      <c r="D23" s="65">
        <v>37151599.590000004</v>
      </c>
      <c r="E23" s="65">
        <v>1480717.36</v>
      </c>
      <c r="F23" s="65">
        <v>104721.57</v>
      </c>
      <c r="G23" s="65">
        <v>3024731.55</v>
      </c>
      <c r="H23" s="65">
        <v>0</v>
      </c>
      <c r="I23" s="66">
        <f t="shared" si="12"/>
        <v>138143851.93000001</v>
      </c>
    </row>
    <row r="24" spans="1:9">
      <c r="A24" s="62" t="s">
        <v>305</v>
      </c>
      <c r="B24" s="10">
        <f>B16+B17-B21</f>
        <v>37646680.239999995</v>
      </c>
      <c r="C24" s="10">
        <f t="shared" ref="C24:I24" si="14">C16+C17-C21</f>
        <v>0</v>
      </c>
      <c r="D24" s="10">
        <f t="shared" si="14"/>
        <v>1455013434.7</v>
      </c>
      <c r="E24" s="10">
        <f t="shared" si="14"/>
        <v>200843146.36999997</v>
      </c>
      <c r="F24" s="10">
        <f t="shared" si="14"/>
        <v>8017025.9299999997</v>
      </c>
      <c r="G24" s="10">
        <f t="shared" si="14"/>
        <v>153852980.54999998</v>
      </c>
      <c r="H24" s="10">
        <f t="shared" si="14"/>
        <v>2712666.33</v>
      </c>
      <c r="I24" s="63">
        <f t="shared" si="14"/>
        <v>1858085934.1200001</v>
      </c>
    </row>
    <row r="25" spans="1:9">
      <c r="A25" s="287" t="s">
        <v>306</v>
      </c>
      <c r="B25" s="288"/>
      <c r="C25" s="288"/>
      <c r="D25" s="288"/>
      <c r="E25" s="288"/>
      <c r="F25" s="288"/>
      <c r="G25" s="288"/>
      <c r="H25" s="288"/>
      <c r="I25" s="289"/>
    </row>
    <row r="26" spans="1:9">
      <c r="A26" s="58" t="s">
        <v>303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  <c r="H26" s="59">
        <v>3427360.88</v>
      </c>
      <c r="I26" s="61">
        <f>B26+SUM(D26:H26)</f>
        <v>3427360.88</v>
      </c>
    </row>
    <row r="27" spans="1:9">
      <c r="A27" s="64" t="s">
        <v>307</v>
      </c>
      <c r="B27" s="65">
        <v>89982164.579999998</v>
      </c>
      <c r="C27" s="65">
        <v>85059017.739999995</v>
      </c>
      <c r="D27" s="65">
        <v>0</v>
      </c>
      <c r="E27" s="65">
        <v>0</v>
      </c>
      <c r="F27" s="65">
        <v>0</v>
      </c>
      <c r="G27" s="65">
        <v>0</v>
      </c>
      <c r="H27" s="65">
        <v>119925</v>
      </c>
      <c r="I27" s="66">
        <f>B27+SUM(D27:H27)</f>
        <v>90102089.579999998</v>
      </c>
    </row>
    <row r="28" spans="1:9">
      <c r="A28" s="64" t="s">
        <v>308</v>
      </c>
      <c r="B28" s="65">
        <v>0</v>
      </c>
      <c r="C28" s="67">
        <v>0</v>
      </c>
      <c r="D28" s="65">
        <v>0</v>
      </c>
      <c r="E28" s="65">
        <v>0</v>
      </c>
      <c r="F28" s="65">
        <v>0</v>
      </c>
      <c r="G28" s="65">
        <v>0</v>
      </c>
      <c r="H28" s="65">
        <v>167332.76999999999</v>
      </c>
      <c r="I28" s="66">
        <f>B28+SUM(D28:H28)</f>
        <v>167332.76999999999</v>
      </c>
    </row>
    <row r="29" spans="1:9">
      <c r="A29" s="62" t="s">
        <v>305</v>
      </c>
      <c r="B29" s="10">
        <f>B26+B27-B28</f>
        <v>89982164.579999998</v>
      </c>
      <c r="C29" s="10">
        <f t="shared" ref="C29:I29" si="15">C26+C27-C28</f>
        <v>85059017.739999995</v>
      </c>
      <c r="D29" s="10">
        <f t="shared" si="15"/>
        <v>0</v>
      </c>
      <c r="E29" s="10">
        <f t="shared" si="15"/>
        <v>0</v>
      </c>
      <c r="F29" s="10">
        <f t="shared" si="15"/>
        <v>0</v>
      </c>
      <c r="G29" s="10">
        <f t="shared" si="15"/>
        <v>0</v>
      </c>
      <c r="H29" s="10">
        <f t="shared" si="15"/>
        <v>3379953.11</v>
      </c>
      <c r="I29" s="63">
        <f t="shared" si="15"/>
        <v>93362117.689999998</v>
      </c>
    </row>
    <row r="30" spans="1:9">
      <c r="A30" s="290" t="s">
        <v>309</v>
      </c>
      <c r="B30" s="291"/>
      <c r="C30" s="291"/>
      <c r="D30" s="291"/>
      <c r="E30" s="291"/>
      <c r="F30" s="291"/>
      <c r="G30" s="291"/>
      <c r="H30" s="291"/>
      <c r="I30" s="292"/>
    </row>
    <row r="31" spans="1:9">
      <c r="A31" s="68" t="s">
        <v>303</v>
      </c>
      <c r="B31" s="69">
        <f>B6-B16-B26</f>
        <v>45377509308.370003</v>
      </c>
      <c r="C31" s="69">
        <f t="shared" ref="C31:I31" si="16">C6-C16-C26</f>
        <v>0</v>
      </c>
      <c r="D31" s="69">
        <f t="shared" si="16"/>
        <v>2370572699.8699999</v>
      </c>
      <c r="E31" s="69">
        <f t="shared" si="16"/>
        <v>43352785.060000002</v>
      </c>
      <c r="F31" s="69">
        <f t="shared" si="16"/>
        <v>568937.87000000011</v>
      </c>
      <c r="G31" s="69">
        <f t="shared" si="16"/>
        <v>31825495.110000014</v>
      </c>
      <c r="H31" s="69">
        <f t="shared" si="16"/>
        <v>879357195.18999994</v>
      </c>
      <c r="I31" s="70">
        <f t="shared" si="16"/>
        <v>48703186421.470001</v>
      </c>
    </row>
    <row r="32" spans="1:9" ht="15.75" thickBot="1">
      <c r="A32" s="71" t="s">
        <v>310</v>
      </c>
      <c r="B32" s="72">
        <f>B14-B24-B29</f>
        <v>7679300356.7200012</v>
      </c>
      <c r="C32" s="72">
        <f t="shared" ref="C32:I32" si="17">C14-C24-C29</f>
        <v>290066722.63000083</v>
      </c>
      <c r="D32" s="72">
        <f t="shared" si="17"/>
        <v>2333542297.0100002</v>
      </c>
      <c r="E32" s="72">
        <f t="shared" si="17"/>
        <v>43793503.570000023</v>
      </c>
      <c r="F32" s="72">
        <f t="shared" si="17"/>
        <v>1224890.7100000009</v>
      </c>
      <c r="G32" s="72">
        <f t="shared" si="17"/>
        <v>32560219.900000006</v>
      </c>
      <c r="H32" s="72">
        <f t="shared" si="17"/>
        <v>1022228261.28</v>
      </c>
      <c r="I32" s="73">
        <f t="shared" si="17"/>
        <v>11112649529.189999</v>
      </c>
    </row>
    <row r="34" spans="1:9">
      <c r="A34" s="27" t="s">
        <v>311</v>
      </c>
      <c r="B34" s="24">
        <f>B31-'Bilans 31.12.2018'!B12</f>
        <v>0</v>
      </c>
      <c r="C34" s="24">
        <f>C31-'Bilans 31.12.2018'!B13</f>
        <v>0</v>
      </c>
      <c r="D34" s="24">
        <f>D31-'Bilans 31.12.2018'!B14</f>
        <v>0</v>
      </c>
      <c r="E34" s="24">
        <f>E31-'Bilans 31.12.2018'!B15</f>
        <v>0</v>
      </c>
      <c r="F34" s="24">
        <f>F31-'Bilans 31.12.2018'!B16</f>
        <v>0</v>
      </c>
      <c r="G34" s="24">
        <f>G31-'Bilans 31.12.2018'!B17</f>
        <v>0</v>
      </c>
      <c r="H34" s="24">
        <f>'Bilans 31.12.2018'!B18-H31</f>
        <v>0</v>
      </c>
      <c r="I34" s="24">
        <f>I31-'Bilans 31.12.2018'!B10</f>
        <v>0</v>
      </c>
    </row>
    <row r="35" spans="1:9">
      <c r="A35" s="27"/>
      <c r="B35" s="24">
        <f>B32-'Bilans 31.12.2018'!C12</f>
        <v>0</v>
      </c>
      <c r="C35" s="24">
        <f>C32-'Bilans 31.12.2018'!C13</f>
        <v>8.3446502685546875E-7</v>
      </c>
      <c r="D35" s="24">
        <f>D32-'Bilans 31.12.2018'!C14</f>
        <v>0</v>
      </c>
      <c r="E35" s="24">
        <f>E32-'Bilans 31.12.2018'!C15</f>
        <v>0</v>
      </c>
      <c r="F35" s="24">
        <f>F32-'Bilans 31.12.2018'!C16</f>
        <v>0</v>
      </c>
      <c r="G35" s="24">
        <f>G32-'Bilans 31.12.2018'!C17</f>
        <v>0</v>
      </c>
      <c r="H35" s="24">
        <f>H32-'Bilans 31.12.2018'!C18</f>
        <v>0</v>
      </c>
      <c r="I35" s="24">
        <f>I32-'Bilans 31.12.2018'!C10</f>
        <v>0</v>
      </c>
    </row>
    <row r="37" spans="1:9">
      <c r="B37" s="18" t="e">
        <f>B31-#REF!</f>
        <v>#REF!</v>
      </c>
      <c r="C37" s="18" t="e">
        <f>C31-#REF!</f>
        <v>#REF!</v>
      </c>
      <c r="D37" s="18" t="e">
        <f>D31-#REF!</f>
        <v>#REF!</v>
      </c>
      <c r="E37" s="18" t="e">
        <f>E31-#REF!</f>
        <v>#REF!</v>
      </c>
      <c r="F37" s="18" t="e">
        <f>F31-#REF!</f>
        <v>#REF!</v>
      </c>
      <c r="G37" s="18" t="e">
        <f>G31-#REF!</f>
        <v>#REF!</v>
      </c>
      <c r="H37" s="18" t="e">
        <f>H31-#REF!</f>
        <v>#REF!</v>
      </c>
      <c r="I37" s="18" t="e">
        <f>I31-#REF!</f>
        <v>#REF!</v>
      </c>
    </row>
    <row r="38" spans="1:9">
      <c r="B38" s="18" t="e">
        <f>B32-#REF!</f>
        <v>#REF!</v>
      </c>
      <c r="C38" s="18" t="e">
        <f>C32-#REF!</f>
        <v>#REF!</v>
      </c>
      <c r="D38" s="18" t="e">
        <f>D32-#REF!</f>
        <v>#REF!</v>
      </c>
      <c r="E38" s="18" t="e">
        <f>E32-#REF!</f>
        <v>#REF!</v>
      </c>
      <c r="F38" s="18" t="e">
        <f>F32-#REF!</f>
        <v>#REF!</v>
      </c>
      <c r="G38" s="18" t="e">
        <f>G32-#REF!</f>
        <v>#REF!</v>
      </c>
      <c r="H38" s="18" t="e">
        <f>H32-#REF!</f>
        <v>#REF!</v>
      </c>
      <c r="I38" s="18" t="e">
        <f>I32-#REF!</f>
        <v>#REF!</v>
      </c>
    </row>
  </sheetData>
  <mergeCells count="14">
    <mergeCell ref="A5:I5"/>
    <mergeCell ref="A15:I15"/>
    <mergeCell ref="A25:I25"/>
    <mergeCell ref="A30:I30"/>
    <mergeCell ref="A1:I1"/>
    <mergeCell ref="B2:G2"/>
    <mergeCell ref="A3:A4"/>
    <mergeCell ref="B3:B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"/>
  <sheetViews>
    <sheetView topLeftCell="A7" workbookViewId="0">
      <selection activeCell="B47" sqref="B47"/>
    </sheetView>
  </sheetViews>
  <sheetFormatPr defaultRowHeight="15"/>
  <cols>
    <col min="1" max="1" width="31.7109375" customWidth="1"/>
    <col min="2" max="2" width="42.28515625" customWidth="1"/>
  </cols>
  <sheetData>
    <row r="1" spans="1:2" ht="15.75" thickBot="1">
      <c r="A1" s="74">
        <v>43465</v>
      </c>
    </row>
    <row r="2" spans="1:2">
      <c r="A2" s="75"/>
      <c r="B2" s="76" t="s">
        <v>313</v>
      </c>
    </row>
    <row r="3" spans="1:2">
      <c r="A3" s="77"/>
      <c r="B3" s="78" t="s">
        <v>314</v>
      </c>
    </row>
    <row r="4" spans="1:2">
      <c r="A4" s="302" t="s">
        <v>315</v>
      </c>
      <c r="B4" s="303"/>
    </row>
    <row r="5" spans="1:2">
      <c r="A5" s="79" t="s">
        <v>294</v>
      </c>
      <c r="B5" s="80">
        <v>140579662.91</v>
      </c>
    </row>
    <row r="6" spans="1:2">
      <c r="A6" s="81" t="s">
        <v>295</v>
      </c>
      <c r="B6" s="82">
        <f>B7+B8</f>
        <v>8344149.8499999996</v>
      </c>
    </row>
    <row r="7" spans="1:2">
      <c r="A7" s="83" t="s">
        <v>296</v>
      </c>
      <c r="B7" s="84">
        <v>5032234.0599999996</v>
      </c>
    </row>
    <row r="8" spans="1:2">
      <c r="A8" s="83" t="s">
        <v>297</v>
      </c>
      <c r="B8" s="84">
        <v>3311915.79</v>
      </c>
    </row>
    <row r="9" spans="1:2">
      <c r="A9" s="81" t="s">
        <v>299</v>
      </c>
      <c r="B9" s="82">
        <f>SUM(B10:B11)</f>
        <v>3998158.0300000003</v>
      </c>
    </row>
    <row r="10" spans="1:2">
      <c r="A10" s="83" t="s">
        <v>300</v>
      </c>
      <c r="B10" s="84">
        <v>2269229.9900000002</v>
      </c>
    </row>
    <row r="11" spans="1:2">
      <c r="A11" s="83" t="s">
        <v>297</v>
      </c>
      <c r="B11" s="84">
        <v>1728928.04</v>
      </c>
    </row>
    <row r="12" spans="1:2">
      <c r="A12" s="81" t="s">
        <v>301</v>
      </c>
      <c r="B12" s="82">
        <f>B5+B6-B9</f>
        <v>144925654.72999999</v>
      </c>
    </row>
    <row r="13" spans="1:2">
      <c r="A13" s="302" t="s">
        <v>316</v>
      </c>
      <c r="B13" s="303"/>
    </row>
    <row r="14" spans="1:2">
      <c r="A14" s="79" t="s">
        <v>303</v>
      </c>
      <c r="B14" s="80">
        <v>122458271.02</v>
      </c>
    </row>
    <row r="15" spans="1:2">
      <c r="A15" s="81" t="s">
        <v>295</v>
      </c>
      <c r="B15" s="82">
        <f>SUM(B16:B17)</f>
        <v>9404028.1799999997</v>
      </c>
    </row>
    <row r="16" spans="1:2">
      <c r="A16" s="83" t="s">
        <v>304</v>
      </c>
      <c r="B16" s="84">
        <v>5631449.0999999996</v>
      </c>
    </row>
    <row r="17" spans="1:2">
      <c r="A17" s="83" t="s">
        <v>297</v>
      </c>
      <c r="B17" s="84">
        <v>3772579.08</v>
      </c>
    </row>
    <row r="18" spans="1:2">
      <c r="A18" s="81" t="s">
        <v>299</v>
      </c>
      <c r="B18" s="82">
        <f>SUM(B19:B20)</f>
        <v>2269908.9900000002</v>
      </c>
    </row>
    <row r="19" spans="1:2">
      <c r="A19" s="83" t="s">
        <v>300</v>
      </c>
      <c r="B19" s="84">
        <v>2269229.9900000002</v>
      </c>
    </row>
    <row r="20" spans="1:2">
      <c r="A20" s="83" t="s">
        <v>297</v>
      </c>
      <c r="B20" s="84">
        <v>679</v>
      </c>
    </row>
    <row r="21" spans="1:2">
      <c r="A21" s="81" t="s">
        <v>305</v>
      </c>
      <c r="B21" s="82">
        <f>B14+B15-B18</f>
        <v>129592390.20999999</v>
      </c>
    </row>
    <row r="22" spans="1:2">
      <c r="A22" s="302" t="s">
        <v>317</v>
      </c>
      <c r="B22" s="303"/>
    </row>
    <row r="23" spans="1:2">
      <c r="A23" s="79" t="s">
        <v>303</v>
      </c>
      <c r="B23" s="80">
        <v>0</v>
      </c>
    </row>
    <row r="24" spans="1:2">
      <c r="A24" s="83" t="s">
        <v>307</v>
      </c>
      <c r="B24" s="84">
        <v>0</v>
      </c>
    </row>
    <row r="25" spans="1:2">
      <c r="A25" s="83" t="s">
        <v>308</v>
      </c>
      <c r="B25" s="84">
        <v>0</v>
      </c>
    </row>
    <row r="26" spans="1:2">
      <c r="A26" s="81" t="s">
        <v>305</v>
      </c>
      <c r="B26" s="82">
        <f>B23+B24-B25</f>
        <v>0</v>
      </c>
    </row>
    <row r="27" spans="1:2">
      <c r="A27" s="85"/>
      <c r="B27" s="86"/>
    </row>
    <row r="28" spans="1:2">
      <c r="A28" s="302" t="s">
        <v>318</v>
      </c>
      <c r="B28" s="303"/>
    </row>
    <row r="29" spans="1:2">
      <c r="A29" s="87" t="s">
        <v>303</v>
      </c>
      <c r="B29" s="80">
        <f>B5-B14-B23</f>
        <v>18121391.890000001</v>
      </c>
    </row>
    <row r="30" spans="1:2" ht="15.75" thickBot="1">
      <c r="A30" s="88" t="s">
        <v>305</v>
      </c>
      <c r="B30" s="80">
        <f>B12-B21-B26</f>
        <v>15333264.519999996</v>
      </c>
    </row>
    <row r="32" spans="1:2">
      <c r="A32" s="27" t="s">
        <v>311</v>
      </c>
      <c r="B32" s="18">
        <f>B29-'Bilans 31.12.2018'!B9</f>
        <v>0</v>
      </c>
    </row>
    <row r="33" spans="2:2">
      <c r="B33" s="18">
        <f>B30-'Bilans 31.12.2018'!C9</f>
        <v>0</v>
      </c>
    </row>
    <row r="35" spans="2:2">
      <c r="B35" s="18" t="e">
        <f>B29-#REF!</f>
        <v>#REF!</v>
      </c>
    </row>
    <row r="36" spans="2:2">
      <c r="B36" s="18" t="e">
        <f>B30-#REF!</f>
        <v>#REF!</v>
      </c>
    </row>
  </sheetData>
  <mergeCells count="4">
    <mergeCell ref="A4:B4"/>
    <mergeCell ref="A13:B13"/>
    <mergeCell ref="A22:B22"/>
    <mergeCell ref="A28:B2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3"/>
  <sheetViews>
    <sheetView topLeftCell="A7" workbookViewId="0">
      <selection activeCell="B47" sqref="B47"/>
    </sheetView>
  </sheetViews>
  <sheetFormatPr defaultRowHeight="15"/>
  <cols>
    <col min="1" max="1" width="2" style="92" customWidth="1"/>
    <col min="2" max="2" width="27.7109375" style="92" bestFit="1" customWidth="1"/>
    <col min="3" max="4" width="36.5703125" style="92" bestFit="1" customWidth="1"/>
    <col min="5" max="5" width="31.85546875" style="92" customWidth="1"/>
    <col min="6" max="6" width="20.5703125" style="92" customWidth="1"/>
    <col min="7" max="16384" width="9.140625" style="92"/>
  </cols>
  <sheetData>
    <row r="3" spans="1:6">
      <c r="A3" s="19"/>
    </row>
    <row r="4" spans="1:6">
      <c r="A4" s="19"/>
    </row>
    <row r="5" spans="1:6" ht="15" customHeight="1">
      <c r="A5" s="305" t="s">
        <v>419</v>
      </c>
      <c r="B5" s="306"/>
      <c r="C5" s="306"/>
      <c r="D5" s="306"/>
      <c r="E5" s="306"/>
      <c r="F5" s="306"/>
    </row>
    <row r="7" spans="1:6">
      <c r="A7" s="307"/>
      <c r="B7" s="307"/>
      <c r="C7" s="307"/>
      <c r="D7" s="307"/>
      <c r="E7" s="307"/>
      <c r="F7" s="307"/>
    </row>
    <row r="8" spans="1:6" ht="67.5" customHeight="1">
      <c r="A8" s="308" t="s">
        <v>420</v>
      </c>
      <c r="B8" s="309"/>
      <c r="C8" s="94" t="s">
        <v>421</v>
      </c>
      <c r="D8" s="94" t="s">
        <v>422</v>
      </c>
      <c r="E8" s="94" t="s">
        <v>423</v>
      </c>
      <c r="F8" s="94" t="s">
        <v>424</v>
      </c>
    </row>
    <row r="9" spans="1:6" ht="15" customHeight="1">
      <c r="A9" s="310" t="s">
        <v>315</v>
      </c>
      <c r="B9" s="311"/>
      <c r="C9" s="311"/>
      <c r="D9" s="311"/>
      <c r="E9" s="311"/>
      <c r="F9" s="312"/>
    </row>
    <row r="10" spans="1:6">
      <c r="A10" s="99"/>
      <c r="B10" s="95" t="s">
        <v>425</v>
      </c>
      <c r="C10" s="97">
        <v>400351.06</v>
      </c>
      <c r="D10" s="97">
        <v>17502981.260000002</v>
      </c>
      <c r="E10" s="97">
        <v>0</v>
      </c>
      <c r="F10" s="97">
        <v>17903332.32</v>
      </c>
    </row>
    <row r="11" spans="1:6">
      <c r="A11" s="99"/>
      <c r="B11" s="95" t="s">
        <v>307</v>
      </c>
      <c r="C11" s="97">
        <v>4177684.82</v>
      </c>
      <c r="D11" s="97">
        <v>1176295.45</v>
      </c>
      <c r="E11" s="97">
        <v>0</v>
      </c>
      <c r="F11" s="97">
        <v>5353980.2699999996</v>
      </c>
    </row>
    <row r="12" spans="1:6">
      <c r="A12" s="99">
        <v>1</v>
      </c>
      <c r="B12" s="98" t="s">
        <v>426</v>
      </c>
      <c r="C12" s="97">
        <v>4177684.82</v>
      </c>
      <c r="D12" s="97">
        <v>49632</v>
      </c>
      <c r="E12" s="97">
        <v>0</v>
      </c>
      <c r="F12" s="97">
        <v>4227316.82</v>
      </c>
    </row>
    <row r="13" spans="1:6">
      <c r="A13" s="99">
        <v>2</v>
      </c>
      <c r="B13" s="98" t="s">
        <v>297</v>
      </c>
      <c r="C13" s="97">
        <v>0</v>
      </c>
      <c r="D13" s="97">
        <v>1126663.45</v>
      </c>
      <c r="E13" s="97">
        <v>0</v>
      </c>
      <c r="F13" s="97">
        <v>1126663.45</v>
      </c>
    </row>
    <row r="14" spans="1:6">
      <c r="A14" s="99"/>
      <c r="B14" s="95" t="s">
        <v>308</v>
      </c>
      <c r="C14" s="97">
        <v>4177684.82</v>
      </c>
      <c r="D14" s="97">
        <v>0</v>
      </c>
      <c r="E14" s="97">
        <v>0</v>
      </c>
      <c r="F14" s="97">
        <v>4177684.82</v>
      </c>
    </row>
    <row r="15" spans="1:6">
      <c r="A15" s="99">
        <v>1</v>
      </c>
      <c r="B15" s="98" t="s">
        <v>427</v>
      </c>
      <c r="C15" s="97">
        <v>0</v>
      </c>
      <c r="D15" s="97">
        <v>0</v>
      </c>
      <c r="E15" s="97">
        <v>0</v>
      </c>
      <c r="F15" s="97">
        <v>0</v>
      </c>
    </row>
    <row r="16" spans="1:6">
      <c r="A16" s="99">
        <v>2</v>
      </c>
      <c r="B16" s="98" t="s">
        <v>428</v>
      </c>
      <c r="C16" s="97">
        <v>4177684.82</v>
      </c>
      <c r="D16" s="97">
        <v>0</v>
      </c>
      <c r="E16" s="97">
        <v>0</v>
      </c>
      <c r="F16" s="97">
        <v>4177684.82</v>
      </c>
    </row>
    <row r="17" spans="1:6">
      <c r="A17" s="99">
        <v>3</v>
      </c>
      <c r="B17" s="98" t="s">
        <v>429</v>
      </c>
      <c r="C17" s="97">
        <v>0</v>
      </c>
      <c r="D17" s="97">
        <v>0</v>
      </c>
      <c r="E17" s="97">
        <v>0</v>
      </c>
      <c r="F17" s="97">
        <v>0</v>
      </c>
    </row>
    <row r="18" spans="1:6">
      <c r="A18" s="99"/>
      <c r="B18" s="95" t="s">
        <v>430</v>
      </c>
      <c r="C18" s="97">
        <v>400351.06</v>
      </c>
      <c r="D18" s="97">
        <v>18679276.710000001</v>
      </c>
      <c r="E18" s="97">
        <v>0</v>
      </c>
      <c r="F18" s="97">
        <v>19079627.77</v>
      </c>
    </row>
    <row r="19" spans="1:6" ht="15" customHeight="1">
      <c r="A19" s="310" t="s">
        <v>317</v>
      </c>
      <c r="B19" s="311"/>
      <c r="C19" s="311"/>
      <c r="D19" s="311"/>
      <c r="E19" s="311"/>
      <c r="F19" s="312"/>
    </row>
    <row r="20" spans="1:6">
      <c r="A20" s="99"/>
      <c r="B20" s="95" t="s">
        <v>431</v>
      </c>
      <c r="C20" s="97">
        <v>0</v>
      </c>
      <c r="D20" s="97">
        <v>0</v>
      </c>
      <c r="E20" s="97">
        <v>0</v>
      </c>
      <c r="F20" s="97">
        <v>0</v>
      </c>
    </row>
    <row r="21" spans="1:6">
      <c r="A21" s="99"/>
      <c r="B21" s="95" t="s">
        <v>307</v>
      </c>
      <c r="C21" s="97">
        <v>0</v>
      </c>
      <c r="D21" s="97">
        <v>0</v>
      </c>
      <c r="E21" s="97">
        <v>0</v>
      </c>
      <c r="F21" s="97">
        <v>0</v>
      </c>
    </row>
    <row r="22" spans="1:6">
      <c r="A22" s="99">
        <v>1</v>
      </c>
      <c r="B22" s="98"/>
      <c r="C22" s="97">
        <v>0</v>
      </c>
      <c r="D22" s="97">
        <v>0</v>
      </c>
      <c r="E22" s="97">
        <v>0</v>
      </c>
      <c r="F22" s="97">
        <v>0</v>
      </c>
    </row>
    <row r="23" spans="1:6">
      <c r="A23" s="99"/>
      <c r="B23" s="95" t="s">
        <v>308</v>
      </c>
      <c r="C23" s="97">
        <v>0</v>
      </c>
      <c r="D23" s="97">
        <v>0</v>
      </c>
      <c r="E23" s="97">
        <v>0</v>
      </c>
      <c r="F23" s="97">
        <v>0</v>
      </c>
    </row>
    <row r="24" spans="1:6">
      <c r="A24" s="99">
        <v>1</v>
      </c>
      <c r="B24" s="98" t="s">
        <v>432</v>
      </c>
      <c r="C24" s="97">
        <v>0</v>
      </c>
      <c r="D24" s="97">
        <v>0</v>
      </c>
      <c r="E24" s="97">
        <v>0</v>
      </c>
      <c r="F24" s="97">
        <v>0</v>
      </c>
    </row>
    <row r="25" spans="1:6">
      <c r="A25" s="99">
        <v>2</v>
      </c>
      <c r="B25" s="98" t="s">
        <v>433</v>
      </c>
      <c r="C25" s="97">
        <v>0</v>
      </c>
      <c r="D25" s="97">
        <v>0</v>
      </c>
      <c r="E25" s="97">
        <v>0</v>
      </c>
      <c r="F25" s="97">
        <v>0</v>
      </c>
    </row>
    <row r="26" spans="1:6">
      <c r="A26" s="99">
        <v>3</v>
      </c>
      <c r="B26" s="98" t="s">
        <v>297</v>
      </c>
      <c r="C26" s="97">
        <v>0</v>
      </c>
      <c r="D26" s="97">
        <v>0</v>
      </c>
      <c r="E26" s="97">
        <v>0</v>
      </c>
      <c r="F26" s="97">
        <v>0</v>
      </c>
    </row>
    <row r="27" spans="1:6">
      <c r="A27" s="99"/>
      <c r="B27" s="95" t="s">
        <v>434</v>
      </c>
      <c r="C27" s="97">
        <v>0</v>
      </c>
      <c r="D27" s="97">
        <v>0</v>
      </c>
      <c r="E27" s="97">
        <v>0</v>
      </c>
      <c r="F27" s="97">
        <v>0</v>
      </c>
    </row>
    <row r="28" spans="1:6">
      <c r="A28" s="99"/>
      <c r="B28" s="100" t="s">
        <v>435</v>
      </c>
      <c r="C28" s="101">
        <f>C10-C20</f>
        <v>400351.06</v>
      </c>
      <c r="D28" s="101">
        <f t="shared" ref="D28:F28" si="0">D10-D20</f>
        <v>17502981.260000002</v>
      </c>
      <c r="E28" s="101">
        <f t="shared" si="0"/>
        <v>0</v>
      </c>
      <c r="F28" s="101">
        <f t="shared" si="0"/>
        <v>17903332.32</v>
      </c>
    </row>
    <row r="29" spans="1:6">
      <c r="A29" s="99"/>
      <c r="B29" s="100" t="s">
        <v>436</v>
      </c>
      <c r="C29" s="101">
        <v>400351.06</v>
      </c>
      <c r="D29" s="101">
        <v>18679276.710000001</v>
      </c>
      <c r="E29" s="101">
        <v>0</v>
      </c>
      <c r="F29" s="101">
        <v>19079627.77</v>
      </c>
    </row>
    <row r="30" spans="1:6">
      <c r="A30" s="313"/>
      <c r="B30" s="313"/>
      <c r="C30" s="313"/>
      <c r="D30" s="313"/>
      <c r="E30" s="313"/>
      <c r="F30" s="313"/>
    </row>
    <row r="31" spans="1:6">
      <c r="A31" s="304"/>
      <c r="B31" s="304"/>
      <c r="C31" s="304"/>
      <c r="D31" s="304"/>
      <c r="E31" s="304"/>
      <c r="F31" s="304"/>
    </row>
    <row r="32" spans="1:6">
      <c r="C32" s="150" t="e">
        <f>C28-#REF!</f>
        <v>#REF!</v>
      </c>
      <c r="D32" s="150" t="e">
        <f>D28-#REF!</f>
        <v>#REF!</v>
      </c>
      <c r="E32" s="150" t="e">
        <f>E28-#REF!</f>
        <v>#REF!</v>
      </c>
      <c r="F32" s="150" t="e">
        <f>F28-#REF!</f>
        <v>#REF!</v>
      </c>
    </row>
    <row r="33" spans="3:6">
      <c r="C33" s="150" t="e">
        <f>C29-#REF!</f>
        <v>#REF!</v>
      </c>
      <c r="D33" s="150" t="e">
        <f>D29-#REF!</f>
        <v>#REF!</v>
      </c>
      <c r="E33" s="150" t="e">
        <f>E29-#REF!</f>
        <v>#REF!</v>
      </c>
      <c r="F33" s="150" t="e">
        <f>F29-#REF!</f>
        <v>#REF!</v>
      </c>
    </row>
  </sheetData>
  <mergeCells count="7">
    <mergeCell ref="A31:F31"/>
    <mergeCell ref="A5:F5"/>
    <mergeCell ref="A7:F7"/>
    <mergeCell ref="A8:B8"/>
    <mergeCell ref="A9:F9"/>
    <mergeCell ref="A19:F19"/>
    <mergeCell ref="A30:F3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3"/>
  <sheetViews>
    <sheetView workbookViewId="0">
      <selection activeCell="B47" sqref="B47"/>
    </sheetView>
  </sheetViews>
  <sheetFormatPr defaultRowHeight="15"/>
  <cols>
    <col min="1" max="1" width="10" style="92" bestFit="1" customWidth="1"/>
    <col min="2" max="2" width="15.28515625" style="92" bestFit="1" customWidth="1"/>
    <col min="3" max="3" width="13.85546875" style="92" bestFit="1" customWidth="1"/>
    <col min="4" max="16384" width="9.140625" style="92"/>
  </cols>
  <sheetData>
    <row r="3" spans="1:5">
      <c r="A3" s="19"/>
    </row>
    <row r="4" spans="1:5">
      <c r="A4" s="19"/>
    </row>
    <row r="5" spans="1:5" ht="30" customHeight="1">
      <c r="A5" s="305" t="s">
        <v>437</v>
      </c>
      <c r="B5" s="306"/>
      <c r="C5" s="306"/>
      <c r="D5" s="306"/>
      <c r="E5" s="306"/>
    </row>
    <row r="7" spans="1:5">
      <c r="A7" s="307"/>
      <c r="B7" s="307"/>
      <c r="C7" s="307"/>
    </row>
    <row r="8" spans="1:5">
      <c r="A8" s="94" t="s">
        <v>438</v>
      </c>
      <c r="B8" s="94" t="s">
        <v>2</v>
      </c>
      <c r="C8" s="94" t="s">
        <v>3</v>
      </c>
    </row>
    <row r="9" spans="1:5">
      <c r="A9" s="95" t="s">
        <v>439</v>
      </c>
      <c r="B9" s="96">
        <v>0</v>
      </c>
      <c r="C9" s="96">
        <v>0</v>
      </c>
    </row>
    <row r="10" spans="1:5" ht="15" customHeight="1">
      <c r="A10" s="314" t="s">
        <v>290</v>
      </c>
      <c r="B10" s="315"/>
      <c r="C10" s="316"/>
    </row>
    <row r="11" spans="1:5">
      <c r="A11" s="95" t="s">
        <v>440</v>
      </c>
      <c r="B11" s="96">
        <v>0</v>
      </c>
      <c r="C11" s="96">
        <v>0</v>
      </c>
    </row>
    <row r="12" spans="1:5">
      <c r="A12" s="313"/>
      <c r="B12" s="313"/>
      <c r="C12" s="313"/>
    </row>
    <row r="13" spans="1:5">
      <c r="A13" s="304"/>
      <c r="B13" s="304"/>
      <c r="C13" s="304"/>
    </row>
  </sheetData>
  <mergeCells count="5">
    <mergeCell ref="A5:E5"/>
    <mergeCell ref="A7:C7"/>
    <mergeCell ref="A10:C10"/>
    <mergeCell ref="A12:C12"/>
    <mergeCell ref="A13:C1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20"/>
  <sheetViews>
    <sheetView workbookViewId="0">
      <selection activeCell="B47" sqref="B47"/>
    </sheetView>
  </sheetViews>
  <sheetFormatPr defaultRowHeight="15"/>
  <cols>
    <col min="1" max="1" width="36.5703125" style="92" bestFit="1" customWidth="1"/>
    <col min="2" max="2" width="23" style="92" bestFit="1" customWidth="1"/>
    <col min="3" max="3" width="17" style="92" bestFit="1" customWidth="1"/>
    <col min="4" max="4" width="19.7109375" style="92" bestFit="1" customWidth="1"/>
    <col min="5" max="5" width="20.28515625" style="92" bestFit="1" customWidth="1"/>
    <col min="6" max="6" width="29.42578125" style="92" bestFit="1" customWidth="1"/>
    <col min="7" max="7" width="13.5703125" style="92" bestFit="1" customWidth="1"/>
    <col min="8" max="8" width="18.28515625" style="92" bestFit="1" customWidth="1"/>
    <col min="9" max="9" width="27.85546875" style="92" bestFit="1" customWidth="1"/>
    <col min="10" max="16384" width="9.140625" style="92"/>
  </cols>
  <sheetData>
    <row r="3" spans="1:9">
      <c r="A3" s="91"/>
    </row>
    <row r="4" spans="1:9" ht="45">
      <c r="A4" s="91" t="s">
        <v>408</v>
      </c>
    </row>
    <row r="5" spans="1:9">
      <c r="A5" s="91" t="s">
        <v>409</v>
      </c>
    </row>
    <row r="6" spans="1:9" ht="30">
      <c r="A6" s="93" t="s">
        <v>410</v>
      </c>
    </row>
    <row r="7" spans="1:9">
      <c r="A7" s="307"/>
      <c r="B7" s="307"/>
      <c r="C7" s="307"/>
      <c r="D7" s="307"/>
      <c r="E7" s="307"/>
      <c r="F7" s="307"/>
      <c r="G7" s="307"/>
      <c r="H7" s="307"/>
      <c r="I7" s="307"/>
    </row>
    <row r="8" spans="1:9">
      <c r="A8" s="317"/>
      <c r="B8" s="308" t="s">
        <v>411</v>
      </c>
      <c r="C8" s="319"/>
      <c r="D8" s="319"/>
      <c r="E8" s="319"/>
      <c r="F8" s="309"/>
      <c r="G8" s="308" t="s">
        <v>127</v>
      </c>
      <c r="H8" s="319"/>
      <c r="I8" s="309"/>
    </row>
    <row r="9" spans="1:9">
      <c r="A9" s="318"/>
      <c r="B9" s="94" t="s">
        <v>412</v>
      </c>
      <c r="C9" s="94" t="s">
        <v>108</v>
      </c>
      <c r="D9" s="94" t="s">
        <v>413</v>
      </c>
      <c r="E9" s="94" t="s">
        <v>414</v>
      </c>
      <c r="F9" s="94" t="s">
        <v>415</v>
      </c>
      <c r="G9" s="94" t="s">
        <v>128</v>
      </c>
      <c r="H9" s="94" t="s">
        <v>416</v>
      </c>
      <c r="I9" s="94" t="s">
        <v>130</v>
      </c>
    </row>
    <row r="10" spans="1:9">
      <c r="A10" s="95" t="s">
        <v>2</v>
      </c>
      <c r="B10" s="96">
        <v>0</v>
      </c>
      <c r="C10" s="97">
        <v>3427360.88</v>
      </c>
      <c r="D10" s="96">
        <v>0</v>
      </c>
      <c r="E10" s="97">
        <v>21436011.059999999</v>
      </c>
      <c r="F10" s="96">
        <v>0</v>
      </c>
      <c r="G10" s="97">
        <v>19376709.09</v>
      </c>
      <c r="H10" s="96">
        <v>0</v>
      </c>
      <c r="I10" s="96">
        <v>0</v>
      </c>
    </row>
    <row r="11" spans="1:9" ht="23.25">
      <c r="A11" s="98" t="s">
        <v>417</v>
      </c>
      <c r="B11" s="96">
        <v>0</v>
      </c>
      <c r="C11" s="97">
        <v>90102089.579999998</v>
      </c>
      <c r="D11" s="96">
        <v>0</v>
      </c>
      <c r="E11" s="97">
        <v>4159256.7</v>
      </c>
      <c r="F11" s="96">
        <v>0</v>
      </c>
      <c r="G11" s="97">
        <v>98213189.920000002</v>
      </c>
      <c r="H11" s="96">
        <v>0</v>
      </c>
      <c r="I11" s="96">
        <v>0</v>
      </c>
    </row>
    <row r="12" spans="1:9" ht="23.25">
      <c r="A12" s="98" t="s">
        <v>418</v>
      </c>
      <c r="B12" s="96">
        <v>0</v>
      </c>
      <c r="C12" s="97">
        <v>167332.76999999999</v>
      </c>
      <c r="D12" s="96">
        <v>0</v>
      </c>
      <c r="E12" s="96">
        <v>0</v>
      </c>
      <c r="F12" s="96">
        <v>0</v>
      </c>
      <c r="G12" s="97">
        <v>12355443.32</v>
      </c>
      <c r="H12" s="96">
        <v>0</v>
      </c>
      <c r="I12" s="96">
        <v>0</v>
      </c>
    </row>
    <row r="13" spans="1:9">
      <c r="A13" s="95" t="s">
        <v>3</v>
      </c>
      <c r="B13" s="96">
        <v>0</v>
      </c>
      <c r="C13" s="97">
        <v>93362117.689999998</v>
      </c>
      <c r="D13" s="96">
        <v>0</v>
      </c>
      <c r="E13" s="97">
        <v>25595267.760000002</v>
      </c>
      <c r="F13" s="96">
        <v>0</v>
      </c>
      <c r="G13" s="97">
        <v>105234455.69</v>
      </c>
      <c r="H13" s="96">
        <v>0</v>
      </c>
      <c r="I13" s="96">
        <v>0</v>
      </c>
    </row>
    <row r="14" spans="1:9">
      <c r="A14" s="313"/>
      <c r="B14" s="313"/>
      <c r="C14" s="313"/>
      <c r="D14" s="313"/>
      <c r="E14" s="313"/>
      <c r="F14" s="313"/>
      <c r="G14" s="313"/>
      <c r="H14" s="313"/>
      <c r="I14" s="313"/>
    </row>
    <row r="15" spans="1:9">
      <c r="A15" s="304"/>
      <c r="B15" s="304"/>
      <c r="C15" s="304"/>
      <c r="D15" s="304"/>
      <c r="E15" s="304"/>
      <c r="F15" s="304"/>
      <c r="G15" s="304"/>
      <c r="H15" s="304"/>
      <c r="I15" s="304"/>
    </row>
    <row r="16" spans="1:9">
      <c r="C16" s="150">
        <f>C10-'Nota II.1.1.a'!I26</f>
        <v>0</v>
      </c>
      <c r="G16" s="170">
        <f>G10-'Nota II.1.6'!F60</f>
        <v>0</v>
      </c>
    </row>
    <row r="17" spans="2:9">
      <c r="C17" s="150">
        <f>C13-'Nota II.1.1.a'!I29</f>
        <v>0</v>
      </c>
      <c r="G17" s="170">
        <f>G13-'Nota II.1.6'!F33</f>
        <v>0</v>
      </c>
    </row>
    <row r="20" spans="2:9">
      <c r="B20" s="170" t="e">
        <f>B13-#REF!</f>
        <v>#REF!</v>
      </c>
      <c r="C20" s="170" t="e">
        <f>C13-#REF!</f>
        <v>#REF!</v>
      </c>
      <c r="D20" s="170" t="e">
        <f>D13-#REF!</f>
        <v>#REF!</v>
      </c>
      <c r="E20" s="170" t="e">
        <f>E13-#REF!</f>
        <v>#REF!</v>
      </c>
      <c r="F20" s="170" t="e">
        <f>F13-#REF!</f>
        <v>#REF!</v>
      </c>
      <c r="G20" s="170" t="e">
        <f>G13-#REF!</f>
        <v>#REF!</v>
      </c>
      <c r="H20" s="170" t="e">
        <f>H13-#REF!</f>
        <v>#REF!</v>
      </c>
      <c r="I20" s="170" t="e">
        <f>I13-#REF!</f>
        <v>#REF!</v>
      </c>
    </row>
  </sheetData>
  <mergeCells count="6">
    <mergeCell ref="A15:I15"/>
    <mergeCell ref="A7:I7"/>
    <mergeCell ref="A8:A9"/>
    <mergeCell ref="B8:F8"/>
    <mergeCell ref="G8:I8"/>
    <mergeCell ref="A14:I1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2"/>
  <sheetViews>
    <sheetView workbookViewId="0">
      <selection activeCell="B47" sqref="B47"/>
    </sheetView>
  </sheetViews>
  <sheetFormatPr defaultRowHeight="15"/>
  <cols>
    <col min="1" max="1" width="30.7109375" style="92" bestFit="1" customWidth="1"/>
    <col min="2" max="2" width="15.28515625" style="92" bestFit="1" customWidth="1"/>
    <col min="3" max="3" width="13.85546875" style="92" bestFit="1" customWidth="1"/>
    <col min="4" max="16384" width="9.140625" style="92"/>
  </cols>
  <sheetData>
    <row r="3" spans="1:3">
      <c r="A3" s="19"/>
    </row>
    <row r="4" spans="1:3">
      <c r="A4" s="19"/>
    </row>
    <row r="5" spans="1:3" ht="15" customHeight="1">
      <c r="A5" s="305" t="s">
        <v>441</v>
      </c>
      <c r="B5" s="306"/>
      <c r="C5" s="306"/>
    </row>
    <row r="7" spans="1:3">
      <c r="A7" s="307"/>
      <c r="B7" s="307"/>
      <c r="C7" s="307"/>
    </row>
    <row r="8" spans="1:3">
      <c r="A8" s="94" t="s">
        <v>442</v>
      </c>
      <c r="B8" s="94" t="s">
        <v>102</v>
      </c>
      <c r="C8" s="94" t="s">
        <v>3</v>
      </c>
    </row>
    <row r="9" spans="1:3">
      <c r="A9" s="95" t="s">
        <v>443</v>
      </c>
      <c r="B9" s="97">
        <v>393884306.88999999</v>
      </c>
      <c r="C9" s="97">
        <v>216164643.56</v>
      </c>
    </row>
    <row r="10" spans="1:3">
      <c r="A10" s="313"/>
      <c r="B10" s="313"/>
      <c r="C10" s="313"/>
    </row>
    <row r="11" spans="1:3">
      <c r="A11" s="304"/>
      <c r="B11" s="304"/>
      <c r="C11" s="304"/>
    </row>
    <row r="12" spans="1:3">
      <c r="B12" s="170" t="e">
        <f>B9-#REF!</f>
        <v>#REF!</v>
      </c>
      <c r="C12" s="170" t="e">
        <f>C9-#REF!</f>
        <v>#REF!</v>
      </c>
    </row>
  </sheetData>
  <mergeCells count="4">
    <mergeCell ref="A5:C5"/>
    <mergeCell ref="A7:C7"/>
    <mergeCell ref="A10:C10"/>
    <mergeCell ref="A11:C1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9"/>
  <sheetViews>
    <sheetView workbookViewId="0">
      <selection activeCell="B47" sqref="B47"/>
    </sheetView>
  </sheetViews>
  <sheetFormatPr defaultRowHeight="15"/>
  <cols>
    <col min="1" max="1" width="36.5703125" bestFit="1" customWidth="1"/>
    <col min="2" max="2" width="29.7109375" bestFit="1" customWidth="1"/>
    <col min="3" max="3" width="36.5703125" bestFit="1" customWidth="1"/>
  </cols>
  <sheetData>
    <row r="3" spans="1:3">
      <c r="A3" s="19"/>
    </row>
    <row r="4" spans="1:3">
      <c r="A4" s="19"/>
    </row>
    <row r="5" spans="1:3" ht="30" customHeight="1">
      <c r="A5" s="305" t="s">
        <v>444</v>
      </c>
      <c r="B5" s="320"/>
      <c r="C5" s="320"/>
    </row>
    <row r="7" spans="1:3">
      <c r="A7" s="321"/>
      <c r="B7" s="321"/>
      <c r="C7" s="321"/>
    </row>
    <row r="8" spans="1:3" ht="22.5">
      <c r="A8" s="104" t="s">
        <v>420</v>
      </c>
      <c r="B8" s="105" t="s">
        <v>445</v>
      </c>
      <c r="C8" s="105" t="s">
        <v>446</v>
      </c>
    </row>
    <row r="9" spans="1:3" ht="64.5">
      <c r="A9" s="46" t="s">
        <v>447</v>
      </c>
      <c r="B9" s="106">
        <v>663532.93999999994</v>
      </c>
      <c r="C9" s="106">
        <v>606166.32999999996</v>
      </c>
    </row>
    <row r="10" spans="1:3">
      <c r="A10" s="46" t="s">
        <v>290</v>
      </c>
      <c r="B10" s="107"/>
      <c r="C10" s="107"/>
    </row>
    <row r="11" spans="1:3">
      <c r="A11" s="46" t="s">
        <v>78</v>
      </c>
      <c r="B11" s="107">
        <v>0</v>
      </c>
      <c r="C11" s="107">
        <v>0</v>
      </c>
    </row>
    <row r="12" spans="1:3" ht="22.5">
      <c r="A12" s="46" t="s">
        <v>448</v>
      </c>
      <c r="B12" s="107">
        <v>0</v>
      </c>
      <c r="C12" s="107">
        <v>0</v>
      </c>
    </row>
    <row r="13" spans="1:3">
      <c r="A13" s="46" t="s">
        <v>449</v>
      </c>
      <c r="B13" s="106">
        <v>442284.94</v>
      </c>
      <c r="C13" s="106">
        <v>458499.41</v>
      </c>
    </row>
    <row r="14" spans="1:3">
      <c r="A14" s="46" t="s">
        <v>450</v>
      </c>
      <c r="B14" s="106">
        <v>221248</v>
      </c>
      <c r="C14" s="106">
        <v>129592</v>
      </c>
    </row>
    <row r="15" spans="1:3">
      <c r="A15" s="46" t="s">
        <v>451</v>
      </c>
      <c r="B15" s="107">
        <v>0</v>
      </c>
      <c r="C15" s="106">
        <v>18074.919999999998</v>
      </c>
    </row>
    <row r="16" spans="1:3">
      <c r="A16" s="322"/>
      <c r="B16" s="322"/>
      <c r="C16" s="322"/>
    </row>
    <row r="17" spans="1:3">
      <c r="A17" s="323"/>
      <c r="B17" s="323"/>
      <c r="C17" s="323"/>
    </row>
    <row r="19" spans="1:3">
      <c r="B19" s="18" t="e">
        <f>B9-#REF!</f>
        <v>#REF!</v>
      </c>
      <c r="C19" s="18" t="e">
        <f>C9-#REF!</f>
        <v>#REF!</v>
      </c>
    </row>
  </sheetData>
  <mergeCells count="4">
    <mergeCell ref="A5:C5"/>
    <mergeCell ref="A7:C7"/>
    <mergeCell ref="A16:C16"/>
    <mergeCell ref="A17:C17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1"/>
  <sheetViews>
    <sheetView topLeftCell="A40" workbookViewId="0">
      <selection activeCell="B47" sqref="B47"/>
    </sheetView>
  </sheetViews>
  <sheetFormatPr defaultRowHeight="15"/>
  <cols>
    <col min="1" max="1" width="3.5703125" bestFit="1" customWidth="1"/>
    <col min="2" max="2" width="41.140625" bestFit="1" customWidth="1"/>
    <col min="3" max="3" width="20.42578125" customWidth="1"/>
    <col min="4" max="4" width="12.7109375" bestFit="1" customWidth="1"/>
    <col min="5" max="5" width="23.140625" customWidth="1"/>
    <col min="6" max="6" width="20.5703125" customWidth="1"/>
    <col min="7" max="7" width="27.85546875" customWidth="1"/>
    <col min="8" max="8" width="25.85546875" customWidth="1"/>
    <col min="9" max="9" width="41.140625" bestFit="1" customWidth="1"/>
    <col min="10" max="10" width="16" bestFit="1" customWidth="1"/>
  </cols>
  <sheetData>
    <row r="1" spans="1:9">
      <c r="A1" s="324" t="s">
        <v>452</v>
      </c>
      <c r="B1" s="324"/>
      <c r="C1" s="324"/>
      <c r="D1" s="324"/>
      <c r="E1" s="324"/>
      <c r="F1" s="324"/>
      <c r="G1" s="324"/>
      <c r="H1" s="324"/>
    </row>
    <row r="2" spans="1:9">
      <c r="A2" s="324" t="s">
        <v>408</v>
      </c>
      <c r="B2" s="324"/>
      <c r="C2" s="324"/>
      <c r="D2" s="324"/>
      <c r="E2" s="324"/>
      <c r="F2" s="324"/>
      <c r="G2" s="324"/>
      <c r="H2" s="324"/>
    </row>
    <row r="3" spans="1:9">
      <c r="A3" s="324" t="s">
        <v>409</v>
      </c>
      <c r="B3" s="324"/>
      <c r="C3" s="324"/>
      <c r="D3" s="324"/>
      <c r="E3" s="324"/>
      <c r="F3" s="324"/>
      <c r="G3" s="324"/>
      <c r="H3" s="324"/>
    </row>
    <row r="4" spans="1:9">
      <c r="A4" s="43"/>
      <c r="B4" s="43"/>
      <c r="C4" s="43"/>
      <c r="D4" s="43"/>
      <c r="E4" s="43"/>
      <c r="F4" s="43"/>
      <c r="G4" s="43"/>
      <c r="H4" s="43"/>
    </row>
    <row r="5" spans="1:9">
      <c r="A5" s="325" t="s">
        <v>489</v>
      </c>
      <c r="B5" s="325"/>
      <c r="C5" s="325"/>
      <c r="D5" s="325"/>
      <c r="E5" s="325"/>
      <c r="F5" s="325"/>
      <c r="G5" s="325"/>
      <c r="H5" s="325"/>
    </row>
    <row r="6" spans="1:9" ht="38.25">
      <c r="A6" s="111" t="s">
        <v>80</v>
      </c>
      <c r="B6" s="112" t="s">
        <v>453</v>
      </c>
      <c r="C6" s="112" t="s">
        <v>490</v>
      </c>
      <c r="D6" s="112" t="s">
        <v>457</v>
      </c>
      <c r="E6" s="112" t="s">
        <v>454</v>
      </c>
      <c r="F6" s="112" t="s">
        <v>455</v>
      </c>
      <c r="G6" s="112" t="s">
        <v>456</v>
      </c>
      <c r="H6" s="112" t="s">
        <v>458</v>
      </c>
      <c r="I6" s="113" t="s">
        <v>459</v>
      </c>
    </row>
    <row r="7" spans="1:9" ht="26.25">
      <c r="A7" s="114"/>
      <c r="B7" s="114" t="s">
        <v>460</v>
      </c>
      <c r="C7" s="115">
        <v>10406</v>
      </c>
      <c r="D7" s="116">
        <v>100</v>
      </c>
      <c r="E7" s="115">
        <v>520300</v>
      </c>
      <c r="F7" s="116">
        <v>0</v>
      </c>
      <c r="G7" s="115">
        <f>E7-F7</f>
        <v>520300</v>
      </c>
      <c r="H7" s="115">
        <v>23448.95</v>
      </c>
      <c r="I7" s="115">
        <v>3094019.79</v>
      </c>
    </row>
    <row r="8" spans="1:9" ht="26.25">
      <c r="A8" s="114"/>
      <c r="B8" s="114" t="s">
        <v>462</v>
      </c>
      <c r="C8" s="115">
        <v>583428</v>
      </c>
      <c r="D8" s="116">
        <v>100</v>
      </c>
      <c r="E8" s="115">
        <v>291714000</v>
      </c>
      <c r="F8" s="115">
        <v>91436002.079999998</v>
      </c>
      <c r="G8" s="115">
        <f t="shared" ref="G8:G32" si="0">E8-F8</f>
        <v>200277997.92000002</v>
      </c>
      <c r="H8" s="115">
        <v>-70393773.430000007</v>
      </c>
      <c r="I8" s="115">
        <v>200277997.91999999</v>
      </c>
    </row>
    <row r="9" spans="1:9" ht="26.25">
      <c r="A9" s="114"/>
      <c r="B9" s="114" t="s">
        <v>463</v>
      </c>
      <c r="C9" s="115">
        <v>84982</v>
      </c>
      <c r="D9" s="116">
        <v>100</v>
      </c>
      <c r="E9" s="115">
        <v>42491000</v>
      </c>
      <c r="F9" s="116">
        <v>0</v>
      </c>
      <c r="G9" s="115">
        <f t="shared" si="0"/>
        <v>42491000</v>
      </c>
      <c r="H9" s="115">
        <v>430428.22</v>
      </c>
      <c r="I9" s="115">
        <v>105551339.67</v>
      </c>
    </row>
    <row r="10" spans="1:9">
      <c r="A10" s="114"/>
      <c r="B10" s="114" t="s">
        <v>461</v>
      </c>
      <c r="C10" s="115">
        <v>657835</v>
      </c>
      <c r="D10" s="116">
        <v>100</v>
      </c>
      <c r="E10" s="115">
        <v>328917500</v>
      </c>
      <c r="F10" s="116">
        <v>0</v>
      </c>
      <c r="G10" s="115">
        <f t="shared" si="0"/>
        <v>328917500</v>
      </c>
      <c r="H10" s="115">
        <v>6145935.0700000003</v>
      </c>
      <c r="I10" s="115">
        <v>643427100.99000001</v>
      </c>
    </row>
    <row r="11" spans="1:9" ht="26.25">
      <c r="A11" s="114"/>
      <c r="B11" s="114" t="s">
        <v>464</v>
      </c>
      <c r="C11" s="115">
        <v>154970</v>
      </c>
      <c r="D11" s="116">
        <v>100</v>
      </c>
      <c r="E11" s="115">
        <v>15497000</v>
      </c>
      <c r="F11" s="115">
        <v>10398455.58</v>
      </c>
      <c r="G11" s="115">
        <f t="shared" si="0"/>
        <v>5098544.42</v>
      </c>
      <c r="H11" s="115">
        <v>-5200811.74</v>
      </c>
      <c r="I11" s="115">
        <v>5098544.42</v>
      </c>
    </row>
    <row r="12" spans="1:9" ht="26.25">
      <c r="A12" s="114"/>
      <c r="B12" s="114" t="s">
        <v>465</v>
      </c>
      <c r="C12" s="115">
        <v>4600</v>
      </c>
      <c r="D12" s="116">
        <v>100</v>
      </c>
      <c r="E12" s="115">
        <v>2300000</v>
      </c>
      <c r="F12" s="116">
        <v>0</v>
      </c>
      <c r="G12" s="115">
        <f t="shared" si="0"/>
        <v>2300000</v>
      </c>
      <c r="H12" s="115">
        <v>-1770697.79</v>
      </c>
      <c r="I12" s="115">
        <v>7003953.2300000004</v>
      </c>
    </row>
    <row r="13" spans="1:9" ht="26.25">
      <c r="A13" s="114"/>
      <c r="B13" s="114" t="s">
        <v>466</v>
      </c>
      <c r="C13" s="115">
        <v>27345751</v>
      </c>
      <c r="D13" s="116">
        <v>100</v>
      </c>
      <c r="E13" s="115">
        <v>2734575100</v>
      </c>
      <c r="F13" s="116">
        <v>0</v>
      </c>
      <c r="G13" s="115">
        <f t="shared" si="0"/>
        <v>2734575100</v>
      </c>
      <c r="H13" s="115">
        <v>196303828.81</v>
      </c>
      <c r="I13" s="115">
        <v>4504764934.2799997</v>
      </c>
    </row>
    <row r="14" spans="1:9">
      <c r="A14" s="114"/>
      <c r="B14" s="114" t="s">
        <v>467</v>
      </c>
      <c r="C14" s="115">
        <v>861866</v>
      </c>
      <c r="D14" s="116">
        <v>100</v>
      </c>
      <c r="E14" s="115">
        <v>430933000</v>
      </c>
      <c r="F14" s="116">
        <v>0</v>
      </c>
      <c r="G14" s="115">
        <f t="shared" si="0"/>
        <v>430933000</v>
      </c>
      <c r="H14" s="115">
        <v>311110.34999999998</v>
      </c>
      <c r="I14" s="115">
        <v>652493033.27999997</v>
      </c>
    </row>
    <row r="15" spans="1:9" ht="26.25">
      <c r="A15" s="114"/>
      <c r="B15" s="114" t="s">
        <v>468</v>
      </c>
      <c r="C15" s="115">
        <v>10000</v>
      </c>
      <c r="D15" s="116">
        <v>100</v>
      </c>
      <c r="E15" s="115">
        <v>5000000</v>
      </c>
      <c r="F15" s="116">
        <v>0</v>
      </c>
      <c r="G15" s="115">
        <f t="shared" si="0"/>
        <v>5000000</v>
      </c>
      <c r="H15" s="115">
        <v>2802773.7</v>
      </c>
      <c r="I15" s="115">
        <v>16921950.59</v>
      </c>
    </row>
    <row r="16" spans="1:9">
      <c r="A16" s="114"/>
      <c r="B16" s="114" t="s">
        <v>469</v>
      </c>
      <c r="C16" s="115">
        <v>24601</v>
      </c>
      <c r="D16" s="116">
        <v>100</v>
      </c>
      <c r="E16" s="115">
        <v>1230050</v>
      </c>
      <c r="F16" s="116">
        <v>0</v>
      </c>
      <c r="G16" s="115">
        <f t="shared" si="0"/>
        <v>1230050</v>
      </c>
      <c r="H16" s="115">
        <v>738727.68</v>
      </c>
      <c r="I16" s="115">
        <v>6610650.9699999997</v>
      </c>
    </row>
    <row r="17" spans="1:9">
      <c r="A17" s="114"/>
      <c r="B17" s="114" t="s">
        <v>470</v>
      </c>
      <c r="C17" s="115">
        <v>80500</v>
      </c>
      <c r="D17" s="116">
        <v>100</v>
      </c>
      <c r="E17" s="115">
        <v>80500000</v>
      </c>
      <c r="F17" s="116">
        <v>0</v>
      </c>
      <c r="G17" s="115">
        <f t="shared" si="0"/>
        <v>80500000</v>
      </c>
      <c r="H17" s="115">
        <v>528446.43999999994</v>
      </c>
      <c r="I17" s="115">
        <v>112613088.73999999</v>
      </c>
    </row>
    <row r="18" spans="1:9" ht="26.25">
      <c r="A18" s="114"/>
      <c r="B18" s="114" t="s">
        <v>471</v>
      </c>
      <c r="C18" s="115">
        <v>143745</v>
      </c>
      <c r="D18" s="116">
        <v>100</v>
      </c>
      <c r="E18" s="115">
        <v>143745000</v>
      </c>
      <c r="F18" s="116">
        <v>0</v>
      </c>
      <c r="G18" s="115">
        <f t="shared" si="0"/>
        <v>143745000</v>
      </c>
      <c r="H18" s="115">
        <v>5737254.2000000002</v>
      </c>
      <c r="I18" s="115">
        <v>188094376.09999999</v>
      </c>
    </row>
    <row r="19" spans="1:9" ht="26.25">
      <c r="A19" s="114"/>
      <c r="B19" s="114" t="s">
        <v>471</v>
      </c>
      <c r="C19" s="116">
        <v>0</v>
      </c>
      <c r="D19" s="116">
        <v>0</v>
      </c>
      <c r="E19" s="116">
        <v>0</v>
      </c>
      <c r="F19" s="116">
        <v>0</v>
      </c>
      <c r="G19" s="115">
        <f t="shared" si="0"/>
        <v>0</v>
      </c>
      <c r="H19" s="116">
        <v>0</v>
      </c>
      <c r="I19" s="116">
        <v>0</v>
      </c>
    </row>
    <row r="20" spans="1:9">
      <c r="A20" s="114"/>
      <c r="B20" s="114" t="s">
        <v>472</v>
      </c>
      <c r="C20" s="115">
        <v>90266</v>
      </c>
      <c r="D20" s="116">
        <v>100</v>
      </c>
      <c r="E20" s="115">
        <v>90266000</v>
      </c>
      <c r="F20" s="116">
        <v>0</v>
      </c>
      <c r="G20" s="115">
        <f t="shared" si="0"/>
        <v>90266000</v>
      </c>
      <c r="H20" s="115">
        <v>935484.85</v>
      </c>
      <c r="I20" s="115">
        <v>97333697.109999999</v>
      </c>
    </row>
    <row r="21" spans="1:9">
      <c r="A21" s="114"/>
      <c r="B21" s="114" t="s">
        <v>473</v>
      </c>
      <c r="C21" s="115">
        <v>934550</v>
      </c>
      <c r="D21" s="116">
        <v>100</v>
      </c>
      <c r="E21" s="115">
        <v>467275000</v>
      </c>
      <c r="F21" s="116">
        <v>0</v>
      </c>
      <c r="G21" s="115">
        <f t="shared" si="0"/>
        <v>467275000</v>
      </c>
      <c r="H21" s="115">
        <v>36197634.659999996</v>
      </c>
      <c r="I21" s="115">
        <v>992228778.23000002</v>
      </c>
    </row>
    <row r="22" spans="1:9">
      <c r="A22" s="114"/>
      <c r="B22" s="114" t="s">
        <v>474</v>
      </c>
      <c r="C22" s="115">
        <v>6600</v>
      </c>
      <c r="D22" s="116">
        <v>100</v>
      </c>
      <c r="E22" s="115">
        <v>3300000</v>
      </c>
      <c r="F22" s="116">
        <v>0</v>
      </c>
      <c r="G22" s="115">
        <f t="shared" si="0"/>
        <v>3300000</v>
      </c>
      <c r="H22" s="115">
        <v>540248.57999999996</v>
      </c>
      <c r="I22" s="115">
        <v>5162584.49</v>
      </c>
    </row>
    <row r="23" spans="1:9">
      <c r="A23" s="114"/>
      <c r="B23" s="114" t="s">
        <v>475</v>
      </c>
      <c r="C23" s="115">
        <v>1000</v>
      </c>
      <c r="D23" s="116">
        <v>100</v>
      </c>
      <c r="E23" s="115">
        <v>1000000</v>
      </c>
      <c r="F23" s="116">
        <v>0</v>
      </c>
      <c r="G23" s="115">
        <f t="shared" si="0"/>
        <v>1000000</v>
      </c>
      <c r="H23" s="115">
        <v>725318.58</v>
      </c>
      <c r="I23" s="115">
        <v>18072392.609999999</v>
      </c>
    </row>
    <row r="24" spans="1:9">
      <c r="A24" s="114"/>
      <c r="B24" s="114" t="s">
        <v>476</v>
      </c>
      <c r="C24" s="115">
        <v>18577</v>
      </c>
      <c r="D24" s="116">
        <v>100</v>
      </c>
      <c r="E24" s="115">
        <v>18577000</v>
      </c>
      <c r="F24" s="116">
        <v>0</v>
      </c>
      <c r="G24" s="115">
        <f t="shared" si="0"/>
        <v>18577000</v>
      </c>
      <c r="H24" s="115">
        <v>-4921020.2</v>
      </c>
      <c r="I24" s="115">
        <v>19756128.82</v>
      </c>
    </row>
    <row r="25" spans="1:9" ht="26.25">
      <c r="A25" s="114"/>
      <c r="B25" s="114" t="s">
        <v>477</v>
      </c>
      <c r="C25" s="115">
        <v>62965</v>
      </c>
      <c r="D25" s="116">
        <v>100</v>
      </c>
      <c r="E25" s="115">
        <v>62965000</v>
      </c>
      <c r="F25" s="116">
        <v>0</v>
      </c>
      <c r="G25" s="115">
        <f t="shared" si="0"/>
        <v>62965000</v>
      </c>
      <c r="H25" s="115">
        <v>50731.74</v>
      </c>
      <c r="I25" s="115">
        <v>64726576.920000002</v>
      </c>
    </row>
    <row r="26" spans="1:9">
      <c r="A26" s="114"/>
      <c r="B26" s="114" t="s">
        <v>478</v>
      </c>
      <c r="C26" s="115">
        <v>17005</v>
      </c>
      <c r="D26" s="116">
        <v>100</v>
      </c>
      <c r="E26" s="115">
        <v>17005000</v>
      </c>
      <c r="F26" s="116">
        <v>0</v>
      </c>
      <c r="G26" s="115">
        <f t="shared" si="0"/>
        <v>17005000</v>
      </c>
      <c r="H26" s="115">
        <v>-10042844.82</v>
      </c>
      <c r="I26" s="115">
        <v>11609921.960000001</v>
      </c>
    </row>
    <row r="27" spans="1:9" ht="26.25">
      <c r="A27" s="114"/>
      <c r="B27" s="114" t="s">
        <v>479</v>
      </c>
      <c r="C27" s="115">
        <v>17883</v>
      </c>
      <c r="D27" s="116">
        <v>100</v>
      </c>
      <c r="E27" s="115">
        <v>17883000</v>
      </c>
      <c r="F27" s="116">
        <v>0</v>
      </c>
      <c r="G27" s="115">
        <f t="shared" si="0"/>
        <v>17883000</v>
      </c>
      <c r="H27" s="115">
        <v>-6767465.3899999997</v>
      </c>
      <c r="I27" s="115">
        <v>16972713.710000001</v>
      </c>
    </row>
    <row r="28" spans="1:9">
      <c r="A28" s="114"/>
      <c r="B28" s="114" t="s">
        <v>480</v>
      </c>
      <c r="C28" s="115">
        <v>25192</v>
      </c>
      <c r="D28" s="116">
        <v>100</v>
      </c>
      <c r="E28" s="115">
        <v>25192000</v>
      </c>
      <c r="F28" s="116">
        <v>0</v>
      </c>
      <c r="G28" s="115">
        <f t="shared" si="0"/>
        <v>25192000</v>
      </c>
      <c r="H28" s="115">
        <v>-19928431.609999999</v>
      </c>
      <c r="I28" s="115">
        <v>9136310.6099999994</v>
      </c>
    </row>
    <row r="29" spans="1:9">
      <c r="A29" s="114"/>
      <c r="B29" s="114" t="s">
        <v>481</v>
      </c>
      <c r="C29" s="115">
        <v>20111</v>
      </c>
      <c r="D29" s="116">
        <v>100</v>
      </c>
      <c r="E29" s="115">
        <v>20111000</v>
      </c>
      <c r="F29" s="116">
        <v>0</v>
      </c>
      <c r="G29" s="115">
        <f t="shared" si="0"/>
        <v>20111000</v>
      </c>
      <c r="H29" s="115">
        <v>36661.019999999997</v>
      </c>
      <c r="I29" s="115">
        <v>19639430.129999999</v>
      </c>
    </row>
    <row r="30" spans="1:9">
      <c r="A30" s="114"/>
      <c r="B30" s="114" t="s">
        <v>482</v>
      </c>
      <c r="C30" s="116">
        <v>100</v>
      </c>
      <c r="D30" s="116">
        <v>100</v>
      </c>
      <c r="E30" s="115">
        <v>50000</v>
      </c>
      <c r="F30" s="115">
        <v>50000</v>
      </c>
      <c r="G30" s="115">
        <f t="shared" si="0"/>
        <v>0</v>
      </c>
      <c r="H30" s="116">
        <v>0</v>
      </c>
      <c r="I30" s="116">
        <v>0</v>
      </c>
    </row>
    <row r="31" spans="1:9" ht="26.25">
      <c r="A31" s="114"/>
      <c r="B31" s="114" t="s">
        <v>483</v>
      </c>
      <c r="C31" s="115">
        <v>16000</v>
      </c>
      <c r="D31" s="116">
        <v>40.22</v>
      </c>
      <c r="E31" s="115">
        <v>16000000</v>
      </c>
      <c r="F31" s="115">
        <v>3352481.43</v>
      </c>
      <c r="G31" s="115">
        <f t="shared" si="0"/>
        <v>12647518.57</v>
      </c>
      <c r="H31" s="115">
        <v>-2547125.15</v>
      </c>
      <c r="I31" s="115">
        <v>31447264.449999999</v>
      </c>
    </row>
    <row r="32" spans="1:9">
      <c r="A32" s="114"/>
      <c r="B32" s="114" t="s">
        <v>484</v>
      </c>
      <c r="C32" s="115">
        <v>8630</v>
      </c>
      <c r="D32" s="116">
        <v>0</v>
      </c>
      <c r="E32" s="115">
        <v>182054.85</v>
      </c>
      <c r="F32" s="115">
        <v>-2483.4</v>
      </c>
      <c r="G32" s="115">
        <f t="shared" si="0"/>
        <v>184538.25</v>
      </c>
      <c r="H32" s="116">
        <v>0</v>
      </c>
      <c r="I32" s="116">
        <v>0</v>
      </c>
    </row>
    <row r="33" spans="1:12" ht="25.5" customHeight="1">
      <c r="A33" s="117"/>
      <c r="B33" s="109" t="s">
        <v>485</v>
      </c>
      <c r="C33" s="110">
        <v>31181563</v>
      </c>
      <c r="D33" s="110"/>
      <c r="E33" s="110">
        <f>SUM(E7:E32)</f>
        <v>4817229004.8500004</v>
      </c>
      <c r="F33" s="110">
        <f>SUM(F7:F32)</f>
        <v>105234455.69</v>
      </c>
      <c r="G33" s="110">
        <f>SUM(G7:G32)</f>
        <v>4711994549.1599998</v>
      </c>
      <c r="H33" s="110">
        <v>129935862.72</v>
      </c>
      <c r="I33" s="118">
        <v>7732036789.0200005</v>
      </c>
      <c r="J33" s="18" t="e">
        <f>E33-#REF!</f>
        <v>#REF!</v>
      </c>
      <c r="K33" s="18" t="e">
        <f>F33-#REF!</f>
        <v>#REF!</v>
      </c>
      <c r="L33" s="18" t="e">
        <f>G33-#REF!</f>
        <v>#REF!</v>
      </c>
    </row>
    <row r="34" spans="1:12" ht="38.25">
      <c r="A34" s="111" t="s">
        <v>80</v>
      </c>
      <c r="B34" s="112" t="s">
        <v>453</v>
      </c>
      <c r="C34" s="112" t="s">
        <v>490</v>
      </c>
      <c r="D34" s="112" t="s">
        <v>457</v>
      </c>
      <c r="E34" s="112" t="s">
        <v>454</v>
      </c>
      <c r="F34" s="112" t="s">
        <v>455</v>
      </c>
      <c r="G34" s="112" t="s">
        <v>456</v>
      </c>
      <c r="H34" s="112" t="s">
        <v>486</v>
      </c>
      <c r="I34" s="113" t="s">
        <v>487</v>
      </c>
    </row>
    <row r="35" spans="1:12" ht="26.25">
      <c r="A35" s="114"/>
      <c r="B35" s="114" t="s">
        <v>460</v>
      </c>
      <c r="C35" s="115">
        <v>10406</v>
      </c>
      <c r="D35" s="116">
        <v>100</v>
      </c>
      <c r="E35" s="115">
        <v>520300</v>
      </c>
      <c r="F35" s="116">
        <v>0</v>
      </c>
      <c r="G35" s="115">
        <f t="shared" ref="G35:G59" si="1">E35-F35</f>
        <v>520300</v>
      </c>
      <c r="H35" s="115">
        <v>94592.53</v>
      </c>
      <c r="I35" s="115">
        <v>3070570.84</v>
      </c>
      <c r="J35" s="24"/>
    </row>
    <row r="36" spans="1:12">
      <c r="A36" s="114"/>
      <c r="B36" s="114" t="s">
        <v>461</v>
      </c>
      <c r="C36" s="115">
        <v>657835</v>
      </c>
      <c r="D36" s="116">
        <v>100</v>
      </c>
      <c r="E36" s="115">
        <v>328917500</v>
      </c>
      <c r="F36" s="116">
        <v>0</v>
      </c>
      <c r="G36" s="115">
        <f t="shared" si="1"/>
        <v>328917500</v>
      </c>
      <c r="H36" s="115">
        <v>25439722.809999999</v>
      </c>
      <c r="I36" s="115">
        <v>637720888.73000002</v>
      </c>
      <c r="J36" s="24"/>
    </row>
    <row r="37" spans="1:12" ht="26.25">
      <c r="A37" s="114"/>
      <c r="B37" s="114" t="s">
        <v>462</v>
      </c>
      <c r="C37" s="115">
        <v>583428</v>
      </c>
      <c r="D37" s="116">
        <v>100</v>
      </c>
      <c r="E37" s="115">
        <v>291714000</v>
      </c>
      <c r="F37" s="116">
        <v>0</v>
      </c>
      <c r="G37" s="115">
        <f t="shared" si="1"/>
        <v>291714000</v>
      </c>
      <c r="H37" s="115">
        <v>-23071539.16</v>
      </c>
      <c r="I37" s="115">
        <v>270671771.35000002</v>
      </c>
      <c r="J37" s="24"/>
    </row>
    <row r="38" spans="1:12" ht="26.25">
      <c r="A38" s="114"/>
      <c r="B38" s="114" t="s">
        <v>463</v>
      </c>
      <c r="C38" s="115">
        <v>84982</v>
      </c>
      <c r="D38" s="116">
        <v>100</v>
      </c>
      <c r="E38" s="115">
        <v>42491000</v>
      </c>
      <c r="F38" s="116">
        <v>0</v>
      </c>
      <c r="G38" s="115">
        <f t="shared" si="1"/>
        <v>42491000</v>
      </c>
      <c r="H38" s="115">
        <v>3860257.47</v>
      </c>
      <c r="I38" s="115">
        <v>105140911.45</v>
      </c>
      <c r="J38" s="24"/>
    </row>
    <row r="39" spans="1:12" ht="26.25">
      <c r="A39" s="114"/>
      <c r="B39" s="114" t="s">
        <v>464</v>
      </c>
      <c r="C39" s="115">
        <v>154970</v>
      </c>
      <c r="D39" s="116">
        <v>100</v>
      </c>
      <c r="E39" s="115">
        <v>15497000</v>
      </c>
      <c r="F39" s="115">
        <v>5197643.84</v>
      </c>
      <c r="G39" s="115">
        <f t="shared" si="1"/>
        <v>10299356.16</v>
      </c>
      <c r="H39" s="115">
        <v>-2220019.69</v>
      </c>
      <c r="I39" s="115">
        <v>10299356.16</v>
      </c>
      <c r="J39" s="24"/>
    </row>
    <row r="40" spans="1:12" ht="26.25">
      <c r="A40" s="114"/>
      <c r="B40" s="114" t="s">
        <v>466</v>
      </c>
      <c r="C40" s="115">
        <v>26625556</v>
      </c>
      <c r="D40" s="116">
        <v>100</v>
      </c>
      <c r="E40" s="115">
        <v>2662555600</v>
      </c>
      <c r="F40" s="116">
        <v>0</v>
      </c>
      <c r="G40" s="115">
        <f t="shared" si="1"/>
        <v>2662555600</v>
      </c>
      <c r="H40" s="115">
        <v>297122378.68000001</v>
      </c>
      <c r="I40" s="115">
        <v>4558461105.4700003</v>
      </c>
      <c r="J40" s="24"/>
    </row>
    <row r="41" spans="1:12">
      <c r="A41" s="114"/>
      <c r="B41" s="114" t="s">
        <v>467</v>
      </c>
      <c r="C41" s="115">
        <v>861866</v>
      </c>
      <c r="D41" s="116">
        <v>100</v>
      </c>
      <c r="E41" s="115">
        <v>430933000</v>
      </c>
      <c r="F41" s="116">
        <v>0</v>
      </c>
      <c r="G41" s="115">
        <f t="shared" si="1"/>
        <v>430933000</v>
      </c>
      <c r="H41" s="115">
        <v>37229983.109999999</v>
      </c>
      <c r="I41" s="115">
        <v>652181922.92999995</v>
      </c>
      <c r="J41" s="24"/>
    </row>
    <row r="42" spans="1:12" ht="26.25">
      <c r="A42" s="114"/>
      <c r="B42" s="114" t="s">
        <v>488</v>
      </c>
      <c r="C42" s="115">
        <v>10000</v>
      </c>
      <c r="D42" s="116">
        <v>100</v>
      </c>
      <c r="E42" s="115">
        <v>5000000</v>
      </c>
      <c r="F42" s="116">
        <v>0</v>
      </c>
      <c r="G42" s="115">
        <f t="shared" si="1"/>
        <v>5000000</v>
      </c>
      <c r="H42" s="115">
        <v>2309624.15</v>
      </c>
      <c r="I42" s="115">
        <v>15869176.890000001</v>
      </c>
      <c r="J42" s="24"/>
    </row>
    <row r="43" spans="1:12">
      <c r="A43" s="114"/>
      <c r="B43" s="114" t="s">
        <v>469</v>
      </c>
      <c r="C43" s="115">
        <v>18435</v>
      </c>
      <c r="D43" s="116">
        <v>100</v>
      </c>
      <c r="E43" s="115">
        <v>921750</v>
      </c>
      <c r="F43" s="116">
        <v>0</v>
      </c>
      <c r="G43" s="115">
        <f t="shared" si="1"/>
        <v>921750</v>
      </c>
      <c r="H43" s="115">
        <v>213935.78</v>
      </c>
      <c r="I43" s="115">
        <v>5871923.29</v>
      </c>
      <c r="J43" s="24"/>
    </row>
    <row r="44" spans="1:12">
      <c r="A44" s="114"/>
      <c r="B44" s="114" t="s">
        <v>470</v>
      </c>
      <c r="C44" s="115">
        <v>80500</v>
      </c>
      <c r="D44" s="116">
        <v>100</v>
      </c>
      <c r="E44" s="115">
        <v>80500000</v>
      </c>
      <c r="F44" s="116">
        <v>0</v>
      </c>
      <c r="G44" s="115">
        <f t="shared" si="1"/>
        <v>80500000</v>
      </c>
      <c r="H44" s="115">
        <v>3507527.89</v>
      </c>
      <c r="I44" s="115">
        <v>110429915.93000001</v>
      </c>
      <c r="J44" s="24"/>
    </row>
    <row r="45" spans="1:12" ht="26.25">
      <c r="A45" s="114"/>
      <c r="B45" s="114" t="s">
        <v>471</v>
      </c>
      <c r="C45" s="115">
        <v>125015</v>
      </c>
      <c r="D45" s="116">
        <v>100</v>
      </c>
      <c r="E45" s="115">
        <v>125015000</v>
      </c>
      <c r="F45" s="116">
        <v>0</v>
      </c>
      <c r="G45" s="115">
        <f t="shared" si="1"/>
        <v>125015000</v>
      </c>
      <c r="H45" s="115">
        <v>4798123.53</v>
      </c>
      <c r="I45" s="115">
        <v>163627121.90000001</v>
      </c>
      <c r="J45" s="24"/>
    </row>
    <row r="46" spans="1:12">
      <c r="A46" s="114"/>
      <c r="B46" s="114" t="s">
        <v>472</v>
      </c>
      <c r="C46" s="115">
        <v>86666</v>
      </c>
      <c r="D46" s="116">
        <v>100</v>
      </c>
      <c r="E46" s="115">
        <v>86666000</v>
      </c>
      <c r="F46" s="116">
        <v>0</v>
      </c>
      <c r="G46" s="115">
        <f t="shared" si="1"/>
        <v>86666000</v>
      </c>
      <c r="H46" s="115">
        <v>2300823.87</v>
      </c>
      <c r="I46" s="115">
        <v>92798212.260000005</v>
      </c>
    </row>
    <row r="47" spans="1:12">
      <c r="A47" s="114"/>
      <c r="B47" s="114" t="s">
        <v>474</v>
      </c>
      <c r="C47" s="115">
        <v>6600</v>
      </c>
      <c r="D47" s="116">
        <v>100</v>
      </c>
      <c r="E47" s="115">
        <v>3300000</v>
      </c>
      <c r="F47" s="116">
        <v>0</v>
      </c>
      <c r="G47" s="115">
        <f t="shared" si="1"/>
        <v>3300000</v>
      </c>
      <c r="H47" s="115">
        <v>427818.04</v>
      </c>
      <c r="I47" s="115">
        <v>5050153.95</v>
      </c>
    </row>
    <row r="48" spans="1:12">
      <c r="A48" s="114"/>
      <c r="B48" s="114" t="s">
        <v>475</v>
      </c>
      <c r="C48" s="115">
        <v>1000</v>
      </c>
      <c r="D48" s="116">
        <v>100</v>
      </c>
      <c r="E48" s="115">
        <v>1000000</v>
      </c>
      <c r="F48" s="116">
        <v>0</v>
      </c>
      <c r="G48" s="115">
        <f t="shared" si="1"/>
        <v>1000000</v>
      </c>
      <c r="H48" s="115">
        <v>662116.78</v>
      </c>
      <c r="I48" s="115">
        <v>17347074.030000001</v>
      </c>
    </row>
    <row r="49" spans="1:12">
      <c r="A49" s="114"/>
      <c r="B49" s="114" t="s">
        <v>476</v>
      </c>
      <c r="C49" s="115">
        <v>18577</v>
      </c>
      <c r="D49" s="116">
        <v>100</v>
      </c>
      <c r="E49" s="115">
        <v>18577000</v>
      </c>
      <c r="F49" s="116">
        <v>0</v>
      </c>
      <c r="G49" s="115">
        <f t="shared" si="1"/>
        <v>18577000</v>
      </c>
      <c r="H49" s="115">
        <v>-2287446.6800000002</v>
      </c>
      <c r="I49" s="115">
        <v>21373621.48</v>
      </c>
    </row>
    <row r="50" spans="1:12" ht="26.25">
      <c r="A50" s="114"/>
      <c r="B50" s="114" t="s">
        <v>477</v>
      </c>
      <c r="C50" s="115">
        <v>40540</v>
      </c>
      <c r="D50" s="116">
        <v>100</v>
      </c>
      <c r="E50" s="115">
        <v>40540000</v>
      </c>
      <c r="F50" s="116">
        <v>0</v>
      </c>
      <c r="G50" s="115">
        <f t="shared" si="1"/>
        <v>40540000</v>
      </c>
      <c r="H50" s="115">
        <v>252516.77</v>
      </c>
      <c r="I50" s="115">
        <v>42250845.18</v>
      </c>
    </row>
    <row r="51" spans="1:12">
      <c r="A51" s="114"/>
      <c r="B51" s="114" t="s">
        <v>478</v>
      </c>
      <c r="C51" s="115">
        <v>17005</v>
      </c>
      <c r="D51" s="116">
        <v>100</v>
      </c>
      <c r="E51" s="115">
        <v>17005000</v>
      </c>
      <c r="F51" s="116">
        <v>0</v>
      </c>
      <c r="G51" s="115">
        <f t="shared" si="1"/>
        <v>17005000</v>
      </c>
      <c r="H51" s="115">
        <v>-7328325.3300000001</v>
      </c>
      <c r="I51" s="115">
        <v>6271186.1900000004</v>
      </c>
    </row>
    <row r="52" spans="1:12" ht="26.25">
      <c r="A52" s="114"/>
      <c r="B52" s="114" t="s">
        <v>479</v>
      </c>
      <c r="C52" s="115">
        <v>11383</v>
      </c>
      <c r="D52" s="116">
        <v>100</v>
      </c>
      <c r="E52" s="115">
        <v>11383000</v>
      </c>
      <c r="F52" s="116">
        <v>0</v>
      </c>
      <c r="G52" s="115">
        <f t="shared" si="1"/>
        <v>11383000</v>
      </c>
      <c r="H52" s="115">
        <v>-6652996.9100000001</v>
      </c>
      <c r="I52" s="115">
        <v>10910179.1</v>
      </c>
    </row>
    <row r="53" spans="1:12">
      <c r="A53" s="114"/>
      <c r="B53" s="114" t="s">
        <v>480</v>
      </c>
      <c r="C53" s="115">
        <v>40100</v>
      </c>
      <c r="D53" s="116">
        <v>100</v>
      </c>
      <c r="E53" s="115">
        <v>40100000</v>
      </c>
      <c r="F53" s="115">
        <v>11801478.09</v>
      </c>
      <c r="G53" s="115">
        <f t="shared" si="1"/>
        <v>28298521.91</v>
      </c>
      <c r="H53" s="115">
        <v>-11990702.890000001</v>
      </c>
      <c r="I53" s="115">
        <v>-7090847.7800000003</v>
      </c>
    </row>
    <row r="54" spans="1:12">
      <c r="A54" s="114"/>
      <c r="B54" s="114" t="s">
        <v>481</v>
      </c>
      <c r="C54" s="115">
        <v>20111</v>
      </c>
      <c r="D54" s="116">
        <v>100</v>
      </c>
      <c r="E54" s="115">
        <v>20111000</v>
      </c>
      <c r="F54" s="116">
        <v>0</v>
      </c>
      <c r="G54" s="115">
        <f t="shared" si="1"/>
        <v>20111000</v>
      </c>
      <c r="H54" s="115">
        <v>-101984.25</v>
      </c>
      <c r="I54" s="115">
        <v>19669528.390000001</v>
      </c>
    </row>
    <row r="55" spans="1:12">
      <c r="A55" s="114"/>
      <c r="B55" s="114" t="s">
        <v>482</v>
      </c>
      <c r="C55" s="116">
        <v>100</v>
      </c>
      <c r="D55" s="116">
        <v>100</v>
      </c>
      <c r="E55" s="115">
        <v>50000</v>
      </c>
      <c r="F55" s="115">
        <v>50000</v>
      </c>
      <c r="G55" s="115">
        <f t="shared" si="1"/>
        <v>0</v>
      </c>
      <c r="H55" s="116">
        <v>0</v>
      </c>
      <c r="I55" s="116">
        <v>0</v>
      </c>
    </row>
    <row r="56" spans="1:12" ht="26.25">
      <c r="A56" s="114"/>
      <c r="B56" s="114" t="s">
        <v>483</v>
      </c>
      <c r="C56" s="115">
        <v>16000</v>
      </c>
      <c r="D56" s="116">
        <v>40.22</v>
      </c>
      <c r="E56" s="115">
        <v>16000000</v>
      </c>
      <c r="F56" s="115">
        <v>2327587.16</v>
      </c>
      <c r="G56" s="115">
        <f t="shared" si="1"/>
        <v>13672412.84</v>
      </c>
      <c r="H56" s="115">
        <v>-3594195.59</v>
      </c>
      <c r="I56" s="115">
        <v>33994389.600000001</v>
      </c>
    </row>
    <row r="57" spans="1:12">
      <c r="A57" s="114"/>
      <c r="B57" s="114" t="s">
        <v>484</v>
      </c>
      <c r="C57" s="115">
        <v>1152</v>
      </c>
      <c r="D57" s="116">
        <v>0</v>
      </c>
      <c r="E57" s="115">
        <v>181411.65</v>
      </c>
      <c r="F57" s="116">
        <v>0</v>
      </c>
      <c r="G57" s="115">
        <f t="shared" si="1"/>
        <v>181411.65</v>
      </c>
      <c r="H57" s="116">
        <v>0</v>
      </c>
      <c r="I57" s="116">
        <v>0</v>
      </c>
    </row>
    <row r="58" spans="1:12" ht="26.25">
      <c r="A58" s="114"/>
      <c r="B58" s="114" t="s">
        <v>465</v>
      </c>
      <c r="C58" s="115">
        <v>4600</v>
      </c>
      <c r="D58" s="116">
        <v>100</v>
      </c>
      <c r="E58" s="115">
        <v>2300000</v>
      </c>
      <c r="F58" s="116">
        <v>0</v>
      </c>
      <c r="G58" s="115">
        <f t="shared" si="1"/>
        <v>2300000</v>
      </c>
      <c r="H58" s="115">
        <v>-1470715.57</v>
      </c>
      <c r="I58" s="115">
        <v>8774651.0199999996</v>
      </c>
    </row>
    <row r="59" spans="1:12">
      <c r="A59" s="114"/>
      <c r="B59" s="114" t="s">
        <v>473</v>
      </c>
      <c r="C59" s="115">
        <v>934550</v>
      </c>
      <c r="D59" s="116">
        <v>100</v>
      </c>
      <c r="E59" s="115">
        <v>467275000</v>
      </c>
      <c r="F59" s="116">
        <v>0</v>
      </c>
      <c r="G59" s="115">
        <f t="shared" si="1"/>
        <v>467275000</v>
      </c>
      <c r="H59" s="115">
        <v>45081837.359999999</v>
      </c>
      <c r="I59" s="115">
        <v>956031143.57000005</v>
      </c>
    </row>
    <row r="60" spans="1:12">
      <c r="A60" s="117"/>
      <c r="B60" s="117" t="s">
        <v>485</v>
      </c>
      <c r="C60" s="119">
        <v>30411377</v>
      </c>
      <c r="D60" s="117"/>
      <c r="E60" s="119">
        <f>SUM(E35:E59)</f>
        <v>4708553561.6499996</v>
      </c>
      <c r="F60" s="119">
        <f>SUM(F35:F59)</f>
        <v>19376709.09</v>
      </c>
      <c r="G60" s="119">
        <f>SUM(G35:G59)</f>
        <v>4689176852.5599995</v>
      </c>
      <c r="H60" s="119">
        <v>364583332.69999999</v>
      </c>
      <c r="I60" s="119">
        <v>7740724801.9300003</v>
      </c>
      <c r="J60" s="24"/>
      <c r="K60" s="24"/>
      <c r="L60" s="24"/>
    </row>
    <row r="62" spans="1:12">
      <c r="B62" s="120"/>
      <c r="F62" s="27" t="s">
        <v>311</v>
      </c>
      <c r="G62" s="24">
        <f>G60-'Bilans 31.12.2018'!B22-'Bilans 31.12.2018'!B44</f>
        <v>-9.5367431640625E-7</v>
      </c>
    </row>
    <row r="63" spans="1:12">
      <c r="G63" s="24">
        <f>G33-'Bilans 31.12.2018'!C22</f>
        <v>0</v>
      </c>
    </row>
    <row r="64" spans="1:12">
      <c r="B64" s="103"/>
    </row>
    <row r="65" spans="2:7">
      <c r="B65" s="103"/>
      <c r="E65" s="18" t="e">
        <f>E60-#REF!</f>
        <v>#REF!</v>
      </c>
      <c r="F65" s="18" t="e">
        <f>F60-#REF!</f>
        <v>#REF!</v>
      </c>
      <c r="G65" s="18" t="e">
        <f>G60-#REF!</f>
        <v>#REF!</v>
      </c>
    </row>
    <row r="66" spans="2:7">
      <c r="B66" s="103"/>
    </row>
    <row r="67" spans="2:7">
      <c r="B67" s="103"/>
    </row>
    <row r="68" spans="2:7">
      <c r="B68" s="103"/>
    </row>
    <row r="69" spans="2:7">
      <c r="B69" s="103"/>
    </row>
    <row r="70" spans="2:7">
      <c r="B70" s="103"/>
    </row>
    <row r="71" spans="2:7">
      <c r="B71" s="103"/>
    </row>
  </sheetData>
  <mergeCells count="4">
    <mergeCell ref="A1:H1"/>
    <mergeCell ref="A2:H2"/>
    <mergeCell ref="A3:H3"/>
    <mergeCell ref="A5:H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topLeftCell="A37" zoomScaleNormal="100" workbookViewId="0">
      <selection activeCell="B48" sqref="B48:C48"/>
    </sheetView>
  </sheetViews>
  <sheetFormatPr defaultRowHeight="15"/>
  <cols>
    <col min="1" max="1" width="31.28515625" style="172" customWidth="1"/>
    <col min="2" max="2" width="29.28515625" style="172" customWidth="1"/>
    <col min="3" max="3" width="29.7109375" style="172" customWidth="1"/>
    <col min="4" max="4" width="26.42578125" style="172" customWidth="1"/>
    <col min="5" max="5" width="27.5703125" style="179" customWidth="1"/>
    <col min="6" max="6" width="9.140625" style="179"/>
    <col min="7" max="7" width="18.28515625" style="172" bestFit="1" customWidth="1"/>
    <col min="8" max="9" width="14.42578125" style="172" customWidth="1"/>
    <col min="10" max="16384" width="9.140625" style="172"/>
  </cols>
  <sheetData>
    <row r="1" spans="1:15" ht="29.25" customHeight="1">
      <c r="A1" s="211" t="s">
        <v>887</v>
      </c>
      <c r="B1" s="233" t="s">
        <v>360</v>
      </c>
      <c r="C1" s="234"/>
      <c r="D1" s="211" t="s">
        <v>893</v>
      </c>
    </row>
    <row r="2" spans="1:15">
      <c r="A2" s="212"/>
      <c r="B2" s="235"/>
      <c r="C2" s="236"/>
      <c r="D2" s="212"/>
    </row>
    <row r="3" spans="1:15" ht="21" customHeight="1">
      <c r="A3" s="212"/>
      <c r="B3" s="235" t="s">
        <v>319</v>
      </c>
      <c r="C3" s="236"/>
      <c r="D3" s="212"/>
    </row>
    <row r="4" spans="1:15" ht="14.25" customHeight="1">
      <c r="A4" s="212"/>
      <c r="B4" s="235" t="s">
        <v>320</v>
      </c>
      <c r="C4" s="236"/>
      <c r="D4" s="212"/>
    </row>
    <row r="5" spans="1:15">
      <c r="A5" s="184" t="s">
        <v>0</v>
      </c>
      <c r="B5" s="239"/>
      <c r="C5" s="240"/>
      <c r="D5" s="243"/>
    </row>
    <row r="6" spans="1:15" ht="15.75" thickBot="1">
      <c r="A6" s="185" t="s">
        <v>889</v>
      </c>
      <c r="B6" s="241"/>
      <c r="C6" s="242"/>
      <c r="D6" s="244"/>
    </row>
    <row r="7" spans="1:15" ht="31.5" customHeight="1" thickBot="1">
      <c r="A7" s="245"/>
      <c r="B7" s="246"/>
      <c r="C7" s="196" t="s">
        <v>204</v>
      </c>
      <c r="D7" s="206" t="s">
        <v>205</v>
      </c>
      <c r="J7" s="207"/>
      <c r="K7" s="207"/>
      <c r="L7" s="207"/>
      <c r="M7" s="207"/>
      <c r="N7" s="207"/>
      <c r="O7" s="207"/>
    </row>
    <row r="8" spans="1:15" ht="14.25" customHeight="1">
      <c r="A8" s="247" t="s">
        <v>321</v>
      </c>
      <c r="B8" s="248"/>
      <c r="C8" s="203">
        <f>SUM(C9:C14)</f>
        <v>13030384465.780001</v>
      </c>
      <c r="D8" s="203">
        <f>SUM(D9:D14)</f>
        <v>14267675638.84</v>
      </c>
      <c r="E8" s="180"/>
      <c r="F8" s="180"/>
      <c r="G8" s="181"/>
      <c r="H8" s="181"/>
      <c r="I8" s="181"/>
      <c r="J8" s="207"/>
      <c r="K8" s="207"/>
      <c r="L8" s="207"/>
      <c r="M8" s="207"/>
      <c r="N8" s="207"/>
      <c r="O8" s="207"/>
    </row>
    <row r="9" spans="1:15" ht="14.25" customHeight="1">
      <c r="A9" s="237" t="s">
        <v>322</v>
      </c>
      <c r="B9" s="238"/>
      <c r="C9" s="189">
        <f>602887422.45-100.25</f>
        <v>602887322.20000005</v>
      </c>
      <c r="D9" s="189">
        <f>605381611.88-7777.62</f>
        <v>605373834.25999999</v>
      </c>
      <c r="E9" s="180"/>
      <c r="F9" s="180"/>
      <c r="G9" s="182"/>
      <c r="H9" s="182"/>
      <c r="I9" s="182"/>
      <c r="J9" s="207"/>
      <c r="K9" s="207"/>
      <c r="L9" s="207"/>
      <c r="M9" s="207"/>
      <c r="N9" s="207"/>
      <c r="O9" s="207"/>
    </row>
    <row r="10" spans="1:15" ht="33.75" customHeight="1">
      <c r="A10" s="237" t="s">
        <v>323</v>
      </c>
      <c r="B10" s="238"/>
      <c r="C10" s="189">
        <v>159519.07</v>
      </c>
      <c r="D10" s="189">
        <v>-7917.24</v>
      </c>
      <c r="E10" s="180"/>
      <c r="F10" s="180"/>
      <c r="G10" s="182"/>
      <c r="H10" s="182"/>
      <c r="I10" s="182"/>
      <c r="J10" s="249"/>
      <c r="K10" s="249"/>
      <c r="L10" s="207"/>
      <c r="M10" s="250"/>
      <c r="N10" s="207"/>
      <c r="O10" s="207"/>
    </row>
    <row r="11" spans="1:15" ht="14.25" customHeight="1">
      <c r="A11" s="237" t="s">
        <v>324</v>
      </c>
      <c r="B11" s="238"/>
      <c r="C11" s="189">
        <v>0</v>
      </c>
      <c r="D11" s="189">
        <v>0</v>
      </c>
      <c r="E11" s="180"/>
      <c r="F11" s="180"/>
      <c r="G11" s="183"/>
      <c r="H11" s="183"/>
      <c r="I11" s="183"/>
      <c r="J11" s="207"/>
      <c r="K11" s="207"/>
      <c r="L11" s="207"/>
      <c r="M11" s="250"/>
      <c r="N11" s="207"/>
      <c r="O11" s="207"/>
    </row>
    <row r="12" spans="1:15" ht="14.25" customHeight="1">
      <c r="A12" s="237" t="s">
        <v>325</v>
      </c>
      <c r="B12" s="238"/>
      <c r="C12" s="189">
        <v>0</v>
      </c>
      <c r="D12" s="189">
        <v>0</v>
      </c>
      <c r="E12" s="180"/>
      <c r="F12" s="180"/>
      <c r="G12" s="182"/>
      <c r="H12" s="182"/>
      <c r="I12" s="182"/>
      <c r="J12" s="207"/>
      <c r="K12" s="207"/>
      <c r="L12" s="207"/>
      <c r="M12" s="250"/>
      <c r="N12" s="207"/>
      <c r="O12" s="207"/>
    </row>
    <row r="13" spans="1:15" ht="14.25" customHeight="1">
      <c r="A13" s="237" t="s">
        <v>326</v>
      </c>
      <c r="B13" s="238"/>
      <c r="C13" s="189">
        <v>0</v>
      </c>
      <c r="D13" s="189">
        <v>0</v>
      </c>
      <c r="E13" s="180"/>
      <c r="F13" s="180"/>
      <c r="G13" s="182"/>
      <c r="H13" s="182"/>
      <c r="I13" s="182"/>
      <c r="J13" s="207"/>
      <c r="K13" s="207"/>
      <c r="L13" s="207"/>
      <c r="M13" s="207"/>
      <c r="N13" s="207"/>
      <c r="O13" s="207"/>
    </row>
    <row r="14" spans="1:15" ht="14.25" customHeight="1">
      <c r="A14" s="237" t="s">
        <v>327</v>
      </c>
      <c r="B14" s="238"/>
      <c r="C14" s="189">
        <f>12430254435.01-2916810.5</f>
        <v>12427337624.51</v>
      </c>
      <c r="D14" s="189">
        <f>13667257899.47-4948177.65</f>
        <v>13662309721.82</v>
      </c>
      <c r="E14" s="180"/>
      <c r="F14" s="180"/>
      <c r="G14" s="182"/>
      <c r="H14" s="182"/>
      <c r="I14" s="182"/>
      <c r="J14" s="207"/>
      <c r="K14" s="207"/>
      <c r="L14" s="207"/>
      <c r="M14" s="207"/>
      <c r="N14" s="207"/>
      <c r="O14" s="207"/>
    </row>
    <row r="15" spans="1:15" ht="14.25" customHeight="1">
      <c r="A15" s="251" t="s">
        <v>328</v>
      </c>
      <c r="B15" s="252"/>
      <c r="C15" s="188">
        <f>SUM(C16:C25)</f>
        <v>2929653083.1500001</v>
      </c>
      <c r="D15" s="188">
        <f>SUM(D16:D25)</f>
        <v>3212148660.230001</v>
      </c>
      <c r="E15" s="180"/>
      <c r="F15" s="180"/>
      <c r="G15" s="181"/>
      <c r="H15" s="181"/>
      <c r="I15" s="181"/>
      <c r="J15" s="207"/>
      <c r="K15" s="207"/>
      <c r="L15" s="207"/>
      <c r="M15" s="207"/>
      <c r="N15" s="207"/>
      <c r="O15" s="207"/>
    </row>
    <row r="16" spans="1:15">
      <c r="A16" s="237" t="s">
        <v>329</v>
      </c>
      <c r="B16" s="238"/>
      <c r="C16" s="189">
        <v>152051904.25</v>
      </c>
      <c r="D16" s="189">
        <v>152291404.86000001</v>
      </c>
      <c r="E16" s="180"/>
      <c r="F16" s="180"/>
      <c r="G16" s="182"/>
      <c r="H16" s="182"/>
      <c r="I16" s="182"/>
      <c r="J16" s="207"/>
      <c r="K16" s="207"/>
      <c r="L16" s="207"/>
      <c r="M16" s="207"/>
      <c r="N16" s="207"/>
      <c r="O16" s="207"/>
    </row>
    <row r="17" spans="1:15">
      <c r="A17" s="237" t="s">
        <v>330</v>
      </c>
      <c r="B17" s="238"/>
      <c r="C17" s="189">
        <v>47742905.969999999</v>
      </c>
      <c r="D17" s="189">
        <v>56155297.859999999</v>
      </c>
      <c r="E17" s="180"/>
      <c r="F17" s="180"/>
      <c r="G17" s="182"/>
      <c r="H17" s="182"/>
      <c r="I17" s="182"/>
      <c r="J17" s="207"/>
      <c r="K17" s="207"/>
      <c r="L17" s="207"/>
      <c r="M17" s="207"/>
      <c r="N17" s="207"/>
      <c r="O17" s="207"/>
    </row>
    <row r="18" spans="1:15">
      <c r="A18" s="237" t="s">
        <v>331</v>
      </c>
      <c r="B18" s="238"/>
      <c r="C18" s="189">
        <v>747771367.89999998</v>
      </c>
      <c r="D18" s="189">
        <f>898159597.19-21934.8</f>
        <v>898137662.3900001</v>
      </c>
      <c r="E18" s="180"/>
      <c r="F18" s="180"/>
      <c r="G18" s="182"/>
      <c r="H18" s="182"/>
      <c r="I18" s="182"/>
      <c r="J18" s="207"/>
      <c r="K18" s="207"/>
      <c r="L18" s="207"/>
      <c r="M18" s="207"/>
      <c r="N18" s="207"/>
      <c r="O18" s="207"/>
    </row>
    <row r="19" spans="1:15">
      <c r="A19" s="237" t="s">
        <v>332</v>
      </c>
      <c r="B19" s="238"/>
      <c r="C19" s="189">
        <f>17711014.21-2916910.75</f>
        <v>14794103.460000001</v>
      </c>
      <c r="D19" s="189">
        <f>22635827.58-4929101.4</f>
        <v>17706726.18</v>
      </c>
      <c r="E19" s="180"/>
      <c r="F19" s="180"/>
      <c r="G19" s="182"/>
      <c r="H19" s="182"/>
      <c r="I19" s="182"/>
      <c r="J19" s="207"/>
      <c r="K19" s="207"/>
      <c r="L19" s="207"/>
      <c r="M19" s="207"/>
      <c r="N19" s="207"/>
      <c r="O19" s="207"/>
    </row>
    <row r="20" spans="1:15">
      <c r="A20" s="237" t="s">
        <v>333</v>
      </c>
      <c r="B20" s="238"/>
      <c r="C20" s="189">
        <v>713487428.50999999</v>
      </c>
      <c r="D20" s="189">
        <f>770669025.94</f>
        <v>770669025.94000006</v>
      </c>
      <c r="E20" s="180"/>
      <c r="F20" s="180"/>
      <c r="G20" s="182"/>
      <c r="H20" s="182"/>
      <c r="I20" s="182"/>
    </row>
    <row r="21" spans="1:15" ht="14.25" customHeight="1">
      <c r="A21" s="237" t="s">
        <v>334</v>
      </c>
      <c r="B21" s="238"/>
      <c r="C21" s="189">
        <v>140626063.16999999</v>
      </c>
      <c r="D21" s="189">
        <v>151429371.12</v>
      </c>
      <c r="E21" s="180"/>
      <c r="F21" s="180"/>
      <c r="G21" s="182"/>
      <c r="H21" s="182"/>
      <c r="I21" s="182"/>
    </row>
    <row r="22" spans="1:15">
      <c r="A22" s="237" t="s">
        <v>335</v>
      </c>
      <c r="B22" s="238"/>
      <c r="C22" s="189">
        <v>23236140.949999999</v>
      </c>
      <c r="D22" s="189">
        <v>24422614.530000001</v>
      </c>
      <c r="E22" s="180"/>
      <c r="F22" s="180"/>
      <c r="G22" s="182"/>
      <c r="H22" s="182"/>
      <c r="I22" s="182"/>
    </row>
    <row r="23" spans="1:15" ht="14.25" customHeight="1">
      <c r="A23" s="237" t="s">
        <v>336</v>
      </c>
      <c r="B23" s="238"/>
      <c r="C23" s="189">
        <v>0</v>
      </c>
      <c r="D23" s="189">
        <v>0</v>
      </c>
      <c r="E23" s="180"/>
      <c r="F23" s="180"/>
      <c r="G23" s="182"/>
      <c r="H23" s="182"/>
      <c r="I23" s="182"/>
    </row>
    <row r="24" spans="1:15" ht="14.25" customHeight="1">
      <c r="A24" s="237" t="s">
        <v>337</v>
      </c>
      <c r="B24" s="238"/>
      <c r="C24" s="189">
        <v>1089942630.46</v>
      </c>
      <c r="D24" s="189">
        <f>1141343950.65-7777.62</f>
        <v>1141336173.0300002</v>
      </c>
      <c r="E24" s="180"/>
      <c r="F24" s="180"/>
      <c r="G24" s="182"/>
      <c r="H24" s="182"/>
      <c r="I24" s="182"/>
    </row>
    <row r="25" spans="1:15">
      <c r="A25" s="237" t="s">
        <v>338</v>
      </c>
      <c r="B25" s="238"/>
      <c r="C25" s="189">
        <v>538.48</v>
      </c>
      <c r="D25" s="189">
        <v>384.32</v>
      </c>
      <c r="E25" s="180"/>
      <c r="F25" s="180"/>
      <c r="G25" s="182"/>
      <c r="H25" s="182"/>
      <c r="I25" s="182"/>
    </row>
    <row r="26" spans="1:15" ht="14.25" customHeight="1">
      <c r="A26" s="251" t="s">
        <v>339</v>
      </c>
      <c r="B26" s="252"/>
      <c r="C26" s="188">
        <f>C8-C15</f>
        <v>10100731382.630001</v>
      </c>
      <c r="D26" s="188">
        <f>D8-D15</f>
        <v>11055526978.609999</v>
      </c>
      <c r="E26" s="180"/>
      <c r="F26" s="180"/>
      <c r="G26" s="181"/>
      <c r="H26" s="181"/>
      <c r="I26" s="181"/>
    </row>
    <row r="27" spans="1:15" ht="14.25" customHeight="1">
      <c r="A27" s="251" t="s">
        <v>340</v>
      </c>
      <c r="B27" s="252"/>
      <c r="C27" s="188">
        <f>SUM(C28:C30)</f>
        <v>602341423.86000001</v>
      </c>
      <c r="D27" s="188">
        <f>SUM(D28:D30)</f>
        <v>1323836783.6800001</v>
      </c>
      <c r="E27" s="180"/>
      <c r="F27" s="180"/>
      <c r="G27" s="181"/>
      <c r="H27" s="181"/>
      <c r="I27" s="181"/>
    </row>
    <row r="28" spans="1:15" ht="14.25" customHeight="1">
      <c r="A28" s="237" t="s">
        <v>341</v>
      </c>
      <c r="B28" s="238"/>
      <c r="C28" s="189">
        <v>105959679.53</v>
      </c>
      <c r="D28" s="189">
        <v>74457979.359999999</v>
      </c>
      <c r="E28" s="180"/>
      <c r="F28" s="180"/>
      <c r="G28" s="182"/>
      <c r="H28" s="182"/>
      <c r="I28" s="182"/>
    </row>
    <row r="29" spans="1:15">
      <c r="A29" s="237" t="s">
        <v>342</v>
      </c>
      <c r="B29" s="238"/>
      <c r="C29" s="189">
        <v>0</v>
      </c>
      <c r="D29" s="189">
        <v>2074.73</v>
      </c>
      <c r="E29" s="180"/>
      <c r="F29" s="180"/>
      <c r="G29" s="183"/>
      <c r="H29" s="183"/>
      <c r="I29" s="183"/>
    </row>
    <row r="30" spans="1:15">
      <c r="A30" s="237" t="s">
        <v>343</v>
      </c>
      <c r="B30" s="238"/>
      <c r="C30" s="189">
        <v>496381744.32999998</v>
      </c>
      <c r="D30" s="189">
        <f>1249379588.14-2858.55</f>
        <v>1249376729.5900002</v>
      </c>
      <c r="E30" s="180"/>
      <c r="F30" s="180"/>
      <c r="G30" s="182"/>
      <c r="H30" s="182"/>
      <c r="I30" s="182"/>
    </row>
    <row r="31" spans="1:15">
      <c r="A31" s="251" t="s">
        <v>344</v>
      </c>
      <c r="B31" s="252"/>
      <c r="C31" s="188">
        <f>SUM(C32:C33)</f>
        <v>864865599.41999996</v>
      </c>
      <c r="D31" s="188">
        <f>SUM(D32:D33)</f>
        <v>800381808.29999995</v>
      </c>
      <c r="E31" s="180"/>
      <c r="F31" s="180"/>
      <c r="G31" s="181"/>
      <c r="H31" s="181"/>
      <c r="I31" s="181"/>
    </row>
    <row r="32" spans="1:15" ht="47.25" customHeight="1">
      <c r="A32" s="237" t="s">
        <v>345</v>
      </c>
      <c r="B32" s="238"/>
      <c r="C32" s="189">
        <v>0</v>
      </c>
      <c r="D32" s="189">
        <v>0</v>
      </c>
      <c r="E32" s="180"/>
      <c r="F32" s="180"/>
      <c r="G32" s="182"/>
      <c r="H32" s="182"/>
      <c r="I32" s="182"/>
    </row>
    <row r="33" spans="1:9">
      <c r="A33" s="237" t="s">
        <v>346</v>
      </c>
      <c r="B33" s="238"/>
      <c r="C33" s="189">
        <v>864865599.41999996</v>
      </c>
      <c r="D33" s="189">
        <v>800381808.29999995</v>
      </c>
      <c r="E33" s="180"/>
      <c r="F33" s="180"/>
      <c r="G33" s="182"/>
      <c r="H33" s="182"/>
      <c r="I33" s="182"/>
    </row>
    <row r="34" spans="1:9" ht="14.25" customHeight="1">
      <c r="A34" s="251" t="s">
        <v>347</v>
      </c>
      <c r="B34" s="252"/>
      <c r="C34" s="188">
        <f>C26+C27-C31</f>
        <v>9838207207.0700016</v>
      </c>
      <c r="D34" s="188">
        <f>D26+D27-D31</f>
        <v>11578981953.99</v>
      </c>
      <c r="E34" s="180"/>
      <c r="F34" s="180"/>
      <c r="G34" s="181"/>
      <c r="H34" s="181"/>
      <c r="I34" s="181"/>
    </row>
    <row r="35" spans="1:9">
      <c r="A35" s="251" t="s">
        <v>348</v>
      </c>
      <c r="B35" s="252"/>
      <c r="C35" s="188">
        <f>SUM(C36:C38)</f>
        <v>214322594.96999997</v>
      </c>
      <c r="D35" s="188">
        <f>SUM(D36:D38)</f>
        <v>503577131.03000003</v>
      </c>
      <c r="E35" s="180"/>
      <c r="F35" s="180"/>
      <c r="G35" s="181"/>
      <c r="H35" s="181"/>
      <c r="I35" s="181"/>
    </row>
    <row r="36" spans="1:9">
      <c r="A36" s="237" t="s">
        <v>349</v>
      </c>
      <c r="B36" s="238"/>
      <c r="C36" s="189">
        <v>2381361.04</v>
      </c>
      <c r="D36" s="189">
        <v>281570024.23000002</v>
      </c>
      <c r="E36" s="180"/>
      <c r="F36" s="180"/>
      <c r="G36" s="182"/>
      <c r="H36" s="182"/>
      <c r="I36" s="182"/>
    </row>
    <row r="37" spans="1:9">
      <c r="A37" s="237" t="s">
        <v>350</v>
      </c>
      <c r="B37" s="238"/>
      <c r="C37" s="189">
        <v>149012764.88999999</v>
      </c>
      <c r="D37" s="189">
        <f>126741562.86-82</f>
        <v>126741480.86</v>
      </c>
      <c r="E37" s="180"/>
      <c r="F37" s="180"/>
      <c r="G37" s="182"/>
      <c r="H37" s="182"/>
      <c r="I37" s="182"/>
    </row>
    <row r="38" spans="1:9">
      <c r="A38" s="237" t="s">
        <v>351</v>
      </c>
      <c r="B38" s="238"/>
      <c r="C38" s="189">
        <v>62928469.039999999</v>
      </c>
      <c r="D38" s="189">
        <v>95265625.939999998</v>
      </c>
      <c r="E38" s="180"/>
      <c r="F38" s="180"/>
      <c r="G38" s="182"/>
      <c r="H38" s="182"/>
      <c r="I38" s="182"/>
    </row>
    <row r="39" spans="1:9">
      <c r="A39" s="251" t="s">
        <v>352</v>
      </c>
      <c r="B39" s="252"/>
      <c r="C39" s="188">
        <f>SUM(C40:C41)</f>
        <v>315329392.93000001</v>
      </c>
      <c r="D39" s="188">
        <f>SUM(D40:D41)</f>
        <v>405360683.58999997</v>
      </c>
      <c r="E39" s="180"/>
      <c r="F39" s="180"/>
      <c r="G39" s="181"/>
      <c r="H39" s="181"/>
      <c r="I39" s="181"/>
    </row>
    <row r="40" spans="1:9">
      <c r="A40" s="237" t="s">
        <v>353</v>
      </c>
      <c r="B40" s="238"/>
      <c r="C40" s="189">
        <v>224462048.31999999</v>
      </c>
      <c r="D40" s="189">
        <f>209210806.45-82</f>
        <v>209210724.44999999</v>
      </c>
      <c r="E40" s="180"/>
      <c r="F40" s="180"/>
      <c r="G40" s="182"/>
      <c r="H40" s="182"/>
      <c r="I40" s="182"/>
    </row>
    <row r="41" spans="1:9">
      <c r="A41" s="237" t="s">
        <v>354</v>
      </c>
      <c r="B41" s="238"/>
      <c r="C41" s="189">
        <v>90867344.609999999</v>
      </c>
      <c r="D41" s="189">
        <v>196149959.13999999</v>
      </c>
      <c r="E41" s="180"/>
      <c r="F41" s="180"/>
      <c r="G41" s="182"/>
      <c r="H41" s="182"/>
      <c r="I41" s="182"/>
    </row>
    <row r="42" spans="1:9" ht="14.25" customHeight="1">
      <c r="A42" s="251" t="s">
        <v>355</v>
      </c>
      <c r="B42" s="252"/>
      <c r="C42" s="188">
        <f>C34+C35-C39</f>
        <v>9737200409.1100006</v>
      </c>
      <c r="D42" s="188">
        <f>D34+D35-D39</f>
        <v>11677198401.43</v>
      </c>
      <c r="E42" s="180"/>
      <c r="F42" s="180"/>
      <c r="G42" s="181"/>
      <c r="H42" s="181"/>
      <c r="I42" s="181"/>
    </row>
    <row r="43" spans="1:9">
      <c r="A43" s="251" t="s">
        <v>356</v>
      </c>
      <c r="B43" s="252"/>
      <c r="C43" s="189">
        <v>0</v>
      </c>
      <c r="D43" s="189">
        <v>0</v>
      </c>
      <c r="E43" s="180"/>
      <c r="F43" s="180"/>
      <c r="G43" s="182"/>
      <c r="H43" s="182"/>
      <c r="I43" s="182"/>
    </row>
    <row r="44" spans="1:9" ht="28.5" customHeight="1" thickBot="1">
      <c r="A44" s="255" t="s">
        <v>357</v>
      </c>
      <c r="B44" s="256"/>
      <c r="C44" s="205">
        <v>0</v>
      </c>
      <c r="D44" s="205">
        <v>0</v>
      </c>
      <c r="E44" s="180"/>
      <c r="F44" s="180"/>
      <c r="G44" s="183"/>
      <c r="H44" s="183"/>
      <c r="I44" s="181"/>
    </row>
    <row r="45" spans="1:9" ht="15.75" thickBot="1">
      <c r="A45" s="253" t="s">
        <v>358</v>
      </c>
      <c r="B45" s="254"/>
      <c r="C45" s="202">
        <f>C42-C43-C44</f>
        <v>9737200409.1100006</v>
      </c>
      <c r="D45" s="202">
        <f>D42-D43-D44</f>
        <v>11677198401.43</v>
      </c>
      <c r="E45" s="180"/>
      <c r="F45" s="180"/>
      <c r="G45" s="181"/>
      <c r="H45" s="181"/>
      <c r="I45" s="181"/>
    </row>
    <row r="46" spans="1:9">
      <c r="A46" s="232"/>
      <c r="B46" s="232"/>
      <c r="C46" s="232"/>
      <c r="D46" s="232"/>
    </row>
    <row r="47" spans="1:9">
      <c r="A47" s="178"/>
      <c r="B47" s="178"/>
      <c r="C47" s="178"/>
      <c r="D47" s="178"/>
    </row>
    <row r="48" spans="1:9">
      <c r="A48" s="178"/>
      <c r="B48" s="208">
        <v>43592</v>
      </c>
      <c r="C48" s="208"/>
      <c r="D48" s="178"/>
    </row>
    <row r="49" spans="1:4">
      <c r="A49" s="178"/>
      <c r="B49" s="209" t="s">
        <v>234</v>
      </c>
      <c r="C49" s="209"/>
      <c r="D49" s="178"/>
    </row>
    <row r="50" spans="1:4">
      <c r="A50" s="178" t="s">
        <v>359</v>
      </c>
      <c r="B50" s="178"/>
      <c r="C50" s="178"/>
      <c r="D50" s="178" t="s">
        <v>236</v>
      </c>
    </row>
    <row r="51" spans="1:4">
      <c r="A51" s="178" t="s">
        <v>76</v>
      </c>
      <c r="B51" s="178"/>
      <c r="C51" s="178"/>
      <c r="D51" s="178" t="s">
        <v>77</v>
      </c>
    </row>
    <row r="53" spans="1:4">
      <c r="A53" s="3"/>
      <c r="C53" s="173">
        <f>C45-'Bilans 31.12.2018'!E10</f>
        <v>0</v>
      </c>
      <c r="D53" s="173">
        <f>D45-'Bilans 31.12.2018'!F10</f>
        <v>0</v>
      </c>
    </row>
    <row r="56" spans="1:4">
      <c r="A56" s="174"/>
    </row>
    <row r="57" spans="1:4">
      <c r="A57" s="174"/>
    </row>
  </sheetData>
  <mergeCells count="52">
    <mergeCell ref="A45:B45"/>
    <mergeCell ref="A46:D46"/>
    <mergeCell ref="B48:C48"/>
    <mergeCell ref="B49:C49"/>
    <mergeCell ref="A39:B39"/>
    <mergeCell ref="A40:B40"/>
    <mergeCell ref="A41:B41"/>
    <mergeCell ref="A42:B42"/>
    <mergeCell ref="A43:B43"/>
    <mergeCell ref="A44:B44"/>
    <mergeCell ref="A38:B38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J10:K10"/>
    <mergeCell ref="M10:M12"/>
    <mergeCell ref="A11:B11"/>
    <mergeCell ref="A12:B12"/>
    <mergeCell ref="A13:B13"/>
    <mergeCell ref="A14:B14"/>
    <mergeCell ref="B5:C6"/>
    <mergeCell ref="D5:D6"/>
    <mergeCell ref="A7:B7"/>
    <mergeCell ref="A8:B8"/>
    <mergeCell ref="A9:B9"/>
    <mergeCell ref="A10:B10"/>
    <mergeCell ref="A1:A4"/>
    <mergeCell ref="B1:C1"/>
    <mergeCell ref="D1:D4"/>
    <mergeCell ref="B2:C2"/>
    <mergeCell ref="B3:C3"/>
    <mergeCell ref="B4:C4"/>
  </mergeCells>
  <pageMargins left="0.31496062992125984" right="0.31496062992125984" top="0.35433070866141736" bottom="0.35433070866141736" header="0.31496062992125984" footer="0.31496062992125984"/>
  <pageSetup paperSize="9" scale="8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8"/>
  <sheetViews>
    <sheetView workbookViewId="0">
      <selection activeCell="B47" sqref="B47"/>
    </sheetView>
  </sheetViews>
  <sheetFormatPr defaultRowHeight="15"/>
  <cols>
    <col min="1" max="1" width="2" style="92" customWidth="1"/>
    <col min="2" max="2" width="34.5703125" style="92" bestFit="1" customWidth="1"/>
    <col min="3" max="3" width="15.28515625" style="92" bestFit="1" customWidth="1"/>
    <col min="4" max="4" width="13.5703125" style="92" bestFit="1" customWidth="1"/>
    <col min="5" max="5" width="12.42578125" style="92" bestFit="1" customWidth="1"/>
    <col min="6" max="6" width="13.5703125" style="92" bestFit="1" customWidth="1"/>
    <col min="7" max="7" width="22.5703125" style="92" bestFit="1" customWidth="1"/>
    <col min="8" max="16384" width="9.140625" style="92"/>
  </cols>
  <sheetData>
    <row r="3" spans="1:7">
      <c r="A3" s="19"/>
    </row>
    <row r="4" spans="1:7">
      <c r="A4" s="19"/>
    </row>
    <row r="5" spans="1:7" ht="15" customHeight="1">
      <c r="A5" s="305" t="s">
        <v>491</v>
      </c>
      <c r="B5" s="306"/>
      <c r="C5" s="306"/>
      <c r="D5" s="306"/>
      <c r="E5" s="306"/>
      <c r="F5" s="306"/>
      <c r="G5" s="306"/>
    </row>
    <row r="7" spans="1:7">
      <c r="A7" s="307"/>
      <c r="B7" s="307"/>
      <c r="C7" s="307"/>
      <c r="D7" s="307"/>
      <c r="E7" s="307"/>
      <c r="F7" s="307"/>
      <c r="G7" s="307"/>
    </row>
    <row r="8" spans="1:7">
      <c r="A8" s="328" t="s">
        <v>492</v>
      </c>
      <c r="B8" s="329"/>
      <c r="C8" s="317" t="s">
        <v>2</v>
      </c>
      <c r="D8" s="308" t="s">
        <v>493</v>
      </c>
      <c r="E8" s="319"/>
      <c r="F8" s="309"/>
      <c r="G8" s="317" t="s">
        <v>494</v>
      </c>
    </row>
    <row r="9" spans="1:7">
      <c r="A9" s="330"/>
      <c r="B9" s="331"/>
      <c r="C9" s="318"/>
      <c r="D9" s="94" t="s">
        <v>307</v>
      </c>
      <c r="E9" s="94" t="s">
        <v>495</v>
      </c>
      <c r="F9" s="94" t="s">
        <v>496</v>
      </c>
      <c r="G9" s="318"/>
    </row>
    <row r="10" spans="1:7">
      <c r="A10" s="99">
        <v>1</v>
      </c>
      <c r="B10" s="95" t="s">
        <v>413</v>
      </c>
      <c r="C10" s="96">
        <v>0</v>
      </c>
      <c r="D10" s="96">
        <v>0</v>
      </c>
      <c r="E10" s="96">
        <v>0</v>
      </c>
      <c r="F10" s="96">
        <v>0</v>
      </c>
      <c r="G10" s="96">
        <v>0</v>
      </c>
    </row>
    <row r="11" spans="1:7">
      <c r="A11" s="99"/>
      <c r="B11" s="98" t="s">
        <v>497</v>
      </c>
      <c r="C11" s="96">
        <v>0</v>
      </c>
      <c r="D11" s="96">
        <v>0</v>
      </c>
      <c r="E11" s="96">
        <v>0</v>
      </c>
      <c r="F11" s="96">
        <v>0</v>
      </c>
      <c r="G11" s="96">
        <v>0</v>
      </c>
    </row>
    <row r="12" spans="1:7">
      <c r="A12" s="99">
        <v>2</v>
      </c>
      <c r="B12" s="95" t="s">
        <v>498</v>
      </c>
      <c r="C12" s="97">
        <v>1052543284.62</v>
      </c>
      <c r="D12" s="97">
        <v>531766988.29000002</v>
      </c>
      <c r="E12" s="97">
        <v>37616663.840000004</v>
      </c>
      <c r="F12" s="97">
        <v>396416379.51999998</v>
      </c>
      <c r="G12" s="97">
        <v>1150277229.55</v>
      </c>
    </row>
    <row r="13" spans="1:7">
      <c r="A13" s="99"/>
      <c r="B13" s="98" t="s">
        <v>497</v>
      </c>
      <c r="C13" s="96">
        <v>0</v>
      </c>
      <c r="D13" s="96">
        <v>0</v>
      </c>
      <c r="E13" s="96">
        <v>0</v>
      </c>
      <c r="F13" s="96">
        <v>0</v>
      </c>
      <c r="G13" s="96">
        <v>0</v>
      </c>
    </row>
    <row r="14" spans="1:7">
      <c r="A14" s="99">
        <v>3</v>
      </c>
      <c r="B14" s="95" t="s">
        <v>499</v>
      </c>
      <c r="C14" s="97">
        <v>340168444.75999999</v>
      </c>
      <c r="D14" s="97">
        <v>301267018.38999999</v>
      </c>
      <c r="E14" s="97">
        <v>1821973.56</v>
      </c>
      <c r="F14" s="97">
        <v>259325116.88999999</v>
      </c>
      <c r="G14" s="97">
        <v>380288372.69999999</v>
      </c>
    </row>
    <row r="15" spans="1:7">
      <c r="A15" s="326" t="s">
        <v>485</v>
      </c>
      <c r="B15" s="327"/>
      <c r="C15" s="121">
        <v>1392711729.3800001</v>
      </c>
      <c r="D15" s="121">
        <v>833034006.67999995</v>
      </c>
      <c r="E15" s="121">
        <v>39438637.399999999</v>
      </c>
      <c r="F15" s="121">
        <v>655741496.40999997</v>
      </c>
      <c r="G15" s="121">
        <v>1530565602.25</v>
      </c>
    </row>
    <row r="16" spans="1:7">
      <c r="A16" s="313"/>
      <c r="B16" s="313"/>
      <c r="C16" s="313"/>
      <c r="D16" s="313"/>
      <c r="E16" s="313"/>
      <c r="F16" s="313"/>
      <c r="G16" s="313"/>
    </row>
    <row r="17" spans="1:7">
      <c r="A17" s="304"/>
      <c r="B17" s="304"/>
      <c r="C17" s="304"/>
      <c r="D17" s="304"/>
      <c r="E17" s="304"/>
      <c r="F17" s="304"/>
      <c r="G17" s="304"/>
    </row>
    <row r="18" spans="1:7">
      <c r="C18" s="170" t="e">
        <f>C15-#REF!</f>
        <v>#REF!</v>
      </c>
      <c r="D18" s="170" t="e">
        <f>D15-#REF!</f>
        <v>#REF!</v>
      </c>
      <c r="E18" s="170" t="e">
        <f>E15-#REF!</f>
        <v>#REF!</v>
      </c>
      <c r="F18" s="170" t="e">
        <f>F15-#REF!</f>
        <v>#REF!</v>
      </c>
      <c r="G18" s="170" t="e">
        <f>G15-#REF!</f>
        <v>#REF!</v>
      </c>
    </row>
  </sheetData>
  <mergeCells count="9">
    <mergeCell ref="A15:B15"/>
    <mergeCell ref="A16:G16"/>
    <mergeCell ref="A17:G17"/>
    <mergeCell ref="A5:G5"/>
    <mergeCell ref="A7:G7"/>
    <mergeCell ref="A8:B9"/>
    <mergeCell ref="C8:C9"/>
    <mergeCell ref="D8:F8"/>
    <mergeCell ref="G8:G9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44"/>
  <sheetViews>
    <sheetView topLeftCell="A16" workbookViewId="0">
      <selection activeCell="B47" sqref="B47"/>
    </sheetView>
  </sheetViews>
  <sheetFormatPr defaultRowHeight="15"/>
  <cols>
    <col min="1" max="1" width="2.7109375" customWidth="1"/>
    <col min="2" max="2" width="36.5703125" bestFit="1" customWidth="1"/>
    <col min="3" max="3" width="15.28515625" bestFit="1" customWidth="1"/>
    <col min="4" max="4" width="13.5703125" bestFit="1" customWidth="1"/>
    <col min="5" max="5" width="12.42578125" bestFit="1" customWidth="1"/>
    <col min="6" max="7" width="15" bestFit="1" customWidth="1"/>
  </cols>
  <sheetData>
    <row r="3" spans="1:7">
      <c r="A3" s="19"/>
    </row>
    <row r="4" spans="1:7">
      <c r="A4" s="19"/>
    </row>
    <row r="5" spans="1:7" ht="15" customHeight="1">
      <c r="A5" s="305" t="s">
        <v>500</v>
      </c>
      <c r="B5" s="320"/>
      <c r="C5" s="320"/>
      <c r="D5" s="320"/>
      <c r="E5" s="320"/>
      <c r="F5" s="320"/>
      <c r="G5" s="320"/>
    </row>
    <row r="7" spans="1:7">
      <c r="A7" s="321"/>
      <c r="B7" s="321"/>
      <c r="C7" s="321"/>
      <c r="D7" s="321"/>
      <c r="E7" s="321"/>
      <c r="F7" s="321"/>
      <c r="G7" s="321"/>
    </row>
    <row r="8" spans="1:7">
      <c r="A8" s="94"/>
      <c r="B8" s="94" t="s">
        <v>501</v>
      </c>
      <c r="C8" s="94" t="s">
        <v>2</v>
      </c>
      <c r="D8" s="94" t="s">
        <v>502</v>
      </c>
      <c r="E8" s="94" t="s">
        <v>503</v>
      </c>
      <c r="F8" s="94" t="s">
        <v>504</v>
      </c>
      <c r="G8" s="94" t="s">
        <v>3</v>
      </c>
    </row>
    <row r="9" spans="1:7" ht="23.25">
      <c r="A9" s="122">
        <v>1</v>
      </c>
      <c r="B9" s="123" t="s">
        <v>505</v>
      </c>
      <c r="C9" s="107">
        <v>0</v>
      </c>
      <c r="D9" s="107">
        <v>0</v>
      </c>
      <c r="E9" s="107">
        <v>0</v>
      </c>
      <c r="F9" s="107">
        <v>0</v>
      </c>
      <c r="G9" s="124">
        <v>0</v>
      </c>
    </row>
    <row r="10" spans="1:7" ht="23.25">
      <c r="A10" s="122">
        <v>2</v>
      </c>
      <c r="B10" s="123" t="s">
        <v>506</v>
      </c>
      <c r="C10" s="106">
        <v>9448900</v>
      </c>
      <c r="D10" s="107">
        <v>0</v>
      </c>
      <c r="E10" s="107">
        <v>0</v>
      </c>
      <c r="F10" s="107">
        <v>0</v>
      </c>
      <c r="G10" s="125">
        <v>9448900</v>
      </c>
    </row>
    <row r="11" spans="1:7">
      <c r="A11" s="122">
        <v>3</v>
      </c>
      <c r="B11" s="123" t="s">
        <v>507</v>
      </c>
      <c r="C11" s="106">
        <v>474678865.37</v>
      </c>
      <c r="D11" s="106">
        <v>11439612</v>
      </c>
      <c r="E11" s="106">
        <v>46010958</v>
      </c>
      <c r="F11" s="106">
        <v>409808642.37</v>
      </c>
      <c r="G11" s="125">
        <v>30298877</v>
      </c>
    </row>
    <row r="12" spans="1:7">
      <c r="A12" s="122">
        <v>4</v>
      </c>
      <c r="B12" s="123" t="s">
        <v>508</v>
      </c>
      <c r="C12" s="106">
        <v>25695226.559999999</v>
      </c>
      <c r="D12" s="106">
        <v>5984737.1399999997</v>
      </c>
      <c r="E12" s="107">
        <v>0</v>
      </c>
      <c r="F12" s="106">
        <v>25445226.559999999</v>
      </c>
      <c r="G12" s="125">
        <v>6234737.1399999997</v>
      </c>
    </row>
    <row r="13" spans="1:7" ht="34.5">
      <c r="A13" s="122">
        <v>5</v>
      </c>
      <c r="B13" s="123" t="s">
        <v>509</v>
      </c>
      <c r="C13" s="106">
        <v>4132465809.9299998</v>
      </c>
      <c r="D13" s="106">
        <v>12502766.5</v>
      </c>
      <c r="E13" s="106">
        <v>11764608.33</v>
      </c>
      <c r="F13" s="106">
        <v>2149348.67</v>
      </c>
      <c r="G13" s="125">
        <v>4131054619.4299998</v>
      </c>
    </row>
    <row r="14" spans="1:7" ht="23.25">
      <c r="A14" s="122">
        <v>6</v>
      </c>
      <c r="B14" s="123" t="s">
        <v>510</v>
      </c>
      <c r="C14" s="106">
        <v>259059724.59</v>
      </c>
      <c r="D14" s="106">
        <v>44999377.460000001</v>
      </c>
      <c r="E14" s="106">
        <v>8652321</v>
      </c>
      <c r="F14" s="106">
        <v>164212121.59999999</v>
      </c>
      <c r="G14" s="125">
        <v>131194659.45</v>
      </c>
    </row>
    <row r="15" spans="1:7">
      <c r="A15" s="122">
        <v>7</v>
      </c>
      <c r="B15" s="123" t="s">
        <v>511</v>
      </c>
      <c r="C15" s="106">
        <v>254364262.80000001</v>
      </c>
      <c r="D15" s="106">
        <v>19733853.010000002</v>
      </c>
      <c r="E15" s="106">
        <v>1883069.74</v>
      </c>
      <c r="F15" s="106">
        <v>237472831.18000001</v>
      </c>
      <c r="G15" s="125">
        <v>34742214.890000001</v>
      </c>
    </row>
    <row r="16" spans="1:7" ht="23.25">
      <c r="A16" s="122">
        <v>8</v>
      </c>
      <c r="B16" s="123" t="s">
        <v>512</v>
      </c>
      <c r="C16" s="106">
        <v>2138893.1800000002</v>
      </c>
      <c r="D16" s="106">
        <v>496775</v>
      </c>
      <c r="E16" s="106">
        <v>82775</v>
      </c>
      <c r="F16" s="106">
        <v>111643.18</v>
      </c>
      <c r="G16" s="125">
        <v>2441250</v>
      </c>
    </row>
    <row r="17" spans="1:7" ht="23.25">
      <c r="A17" s="122">
        <v>9</v>
      </c>
      <c r="B17" s="123" t="s">
        <v>513</v>
      </c>
      <c r="C17" s="106">
        <v>46156429.859999999</v>
      </c>
      <c r="D17" s="106">
        <v>11947164.880000001</v>
      </c>
      <c r="E17" s="106">
        <v>577424.5</v>
      </c>
      <c r="F17" s="106">
        <v>2541990.41</v>
      </c>
      <c r="G17" s="125">
        <v>54984179.829999998</v>
      </c>
    </row>
    <row r="18" spans="1:7">
      <c r="A18" s="94">
        <v>10</v>
      </c>
      <c r="B18" s="104" t="s">
        <v>514</v>
      </c>
      <c r="C18" s="126">
        <v>951976234.72000003</v>
      </c>
      <c r="D18" s="126">
        <v>407769802.14999998</v>
      </c>
      <c r="E18" s="126">
        <v>5234587.37</v>
      </c>
      <c r="F18" s="126">
        <v>234200443.97</v>
      </c>
      <c r="G18" s="125">
        <v>1120311005.53</v>
      </c>
    </row>
    <row r="19" spans="1:7">
      <c r="A19" s="127"/>
      <c r="B19" s="127" t="s">
        <v>515</v>
      </c>
      <c r="C19" s="106">
        <v>239698539.53</v>
      </c>
      <c r="D19" s="106">
        <v>21619870.07</v>
      </c>
      <c r="E19" s="106">
        <v>7600</v>
      </c>
      <c r="F19" s="106">
        <v>107746945.03</v>
      </c>
      <c r="G19" s="125">
        <v>153563864.56999999</v>
      </c>
    </row>
    <row r="20" spans="1:7">
      <c r="A20" s="127"/>
      <c r="B20" s="127" t="s">
        <v>516</v>
      </c>
      <c r="C20" s="106">
        <v>1055360</v>
      </c>
      <c r="D20" s="106">
        <v>6028073.5</v>
      </c>
      <c r="E20" s="107">
        <v>0</v>
      </c>
      <c r="F20" s="107">
        <v>0</v>
      </c>
      <c r="G20" s="125">
        <v>7083433.5</v>
      </c>
    </row>
    <row r="21" spans="1:7">
      <c r="A21" s="127"/>
      <c r="B21" s="127" t="s">
        <v>517</v>
      </c>
      <c r="C21" s="106">
        <v>7086333.2199999997</v>
      </c>
      <c r="D21" s="106">
        <v>1254180.47</v>
      </c>
      <c r="E21" s="106">
        <v>495641.08</v>
      </c>
      <c r="F21" s="106">
        <v>352557.38</v>
      </c>
      <c r="G21" s="125">
        <v>7492315.2300000004</v>
      </c>
    </row>
    <row r="22" spans="1:7" ht="34.5">
      <c r="A22" s="127"/>
      <c r="B22" s="127" t="s">
        <v>518</v>
      </c>
      <c r="C22" s="106">
        <v>10922502.99</v>
      </c>
      <c r="D22" s="107">
        <v>0</v>
      </c>
      <c r="E22" s="107">
        <v>0</v>
      </c>
      <c r="F22" s="106">
        <v>9493518.9900000002</v>
      </c>
      <c r="G22" s="125">
        <v>1428984</v>
      </c>
    </row>
    <row r="23" spans="1:7">
      <c r="A23" s="127"/>
      <c r="B23" s="127" t="s">
        <v>519</v>
      </c>
      <c r="C23" s="106">
        <v>221394.61</v>
      </c>
      <c r="D23" s="106">
        <v>16626.080000000002</v>
      </c>
      <c r="E23" s="106">
        <v>33055.96</v>
      </c>
      <c r="F23" s="106">
        <v>93536.84</v>
      </c>
      <c r="G23" s="125">
        <v>111427.89</v>
      </c>
    </row>
    <row r="24" spans="1:7">
      <c r="A24" s="127"/>
      <c r="B24" s="127" t="s">
        <v>520</v>
      </c>
      <c r="C24" s="106">
        <v>797554.5</v>
      </c>
      <c r="D24" s="106">
        <v>219353</v>
      </c>
      <c r="E24" s="107">
        <v>0</v>
      </c>
      <c r="F24" s="106">
        <v>797554.5</v>
      </c>
      <c r="G24" s="125">
        <v>219353</v>
      </c>
    </row>
    <row r="25" spans="1:7">
      <c r="A25" s="127"/>
      <c r="B25" s="127" t="s">
        <v>521</v>
      </c>
      <c r="C25" s="106">
        <v>9878172.4199999999</v>
      </c>
      <c r="D25" s="106">
        <v>2568046.4300000002</v>
      </c>
      <c r="E25" s="107">
        <v>0</v>
      </c>
      <c r="F25" s="106">
        <v>4705372</v>
      </c>
      <c r="G25" s="125">
        <v>7740846.8499999996</v>
      </c>
    </row>
    <row r="26" spans="1:7" ht="23.25">
      <c r="A26" s="127"/>
      <c r="B26" s="127" t="s">
        <v>522</v>
      </c>
      <c r="C26" s="106">
        <v>144290577</v>
      </c>
      <c r="D26" s="106">
        <v>138381538.91999999</v>
      </c>
      <c r="E26" s="107">
        <v>0</v>
      </c>
      <c r="F26" s="107">
        <v>0</v>
      </c>
      <c r="G26" s="125">
        <v>282672115.92000002</v>
      </c>
    </row>
    <row r="27" spans="1:7">
      <c r="A27" s="127"/>
      <c r="B27" s="127" t="s">
        <v>523</v>
      </c>
      <c r="C27" s="106">
        <v>14901902</v>
      </c>
      <c r="D27" s="107">
        <v>0</v>
      </c>
      <c r="E27" s="107">
        <v>0</v>
      </c>
      <c r="F27" s="107">
        <v>0</v>
      </c>
      <c r="G27" s="125">
        <v>14901902</v>
      </c>
    </row>
    <row r="28" spans="1:7">
      <c r="A28" s="127"/>
      <c r="B28" s="127" t="s">
        <v>524</v>
      </c>
      <c r="C28" s="106">
        <v>23005221.5</v>
      </c>
      <c r="D28" s="107">
        <v>0</v>
      </c>
      <c r="E28" s="107">
        <v>0</v>
      </c>
      <c r="F28" s="107">
        <v>0</v>
      </c>
      <c r="G28" s="125">
        <v>23005221.5</v>
      </c>
    </row>
    <row r="29" spans="1:7">
      <c r="A29" s="127"/>
      <c r="B29" s="127" t="s">
        <v>525</v>
      </c>
      <c r="C29" s="106">
        <v>16616967.5</v>
      </c>
      <c r="D29" s="107">
        <v>0</v>
      </c>
      <c r="E29" s="107">
        <v>0</v>
      </c>
      <c r="F29" s="107">
        <v>0</v>
      </c>
      <c r="G29" s="125">
        <v>16616967.5</v>
      </c>
    </row>
    <row r="30" spans="1:7">
      <c r="A30" s="127"/>
      <c r="B30" s="127" t="s">
        <v>526</v>
      </c>
      <c r="C30" s="106">
        <v>9825612.5700000003</v>
      </c>
      <c r="D30" s="106">
        <v>1467172.37</v>
      </c>
      <c r="E30" s="106">
        <v>28413</v>
      </c>
      <c r="F30" s="106">
        <v>8352427.5700000003</v>
      </c>
      <c r="G30" s="125">
        <v>2911944.37</v>
      </c>
    </row>
    <row r="31" spans="1:7">
      <c r="A31" s="127"/>
      <c r="B31" s="127" t="s">
        <v>527</v>
      </c>
      <c r="C31" s="106">
        <v>121564429.3</v>
      </c>
      <c r="D31" s="106">
        <v>96003010.640000001</v>
      </c>
      <c r="E31" s="106">
        <v>3412883.53</v>
      </c>
      <c r="F31" s="106">
        <v>4209654.88</v>
      </c>
      <c r="G31" s="125">
        <v>209944901.53</v>
      </c>
    </row>
    <row r="32" spans="1:7">
      <c r="A32" s="127"/>
      <c r="B32" s="127" t="s">
        <v>528</v>
      </c>
      <c r="C32" s="106">
        <v>740019.68</v>
      </c>
      <c r="D32" s="106">
        <v>22372.27</v>
      </c>
      <c r="E32" s="106">
        <v>27372.27</v>
      </c>
      <c r="F32" s="106">
        <v>45444.800000000003</v>
      </c>
      <c r="G32" s="125">
        <v>689574.88</v>
      </c>
    </row>
    <row r="33" spans="1:7">
      <c r="A33" s="127"/>
      <c r="B33" s="127" t="s">
        <v>529</v>
      </c>
      <c r="C33" s="106">
        <v>1058892.53</v>
      </c>
      <c r="D33" s="106">
        <v>69755</v>
      </c>
      <c r="E33" s="106">
        <v>23143.53</v>
      </c>
      <c r="F33" s="106">
        <v>458165.3</v>
      </c>
      <c r="G33" s="125">
        <v>647338.69999999995</v>
      </c>
    </row>
    <row r="34" spans="1:7" ht="23.25">
      <c r="A34" s="127"/>
      <c r="B34" s="127" t="s">
        <v>530</v>
      </c>
      <c r="C34" s="106">
        <v>438069</v>
      </c>
      <c r="D34" s="107">
        <v>0</v>
      </c>
      <c r="E34" s="107">
        <v>0</v>
      </c>
      <c r="F34" s="106">
        <v>438069</v>
      </c>
      <c r="G34" s="124">
        <v>0</v>
      </c>
    </row>
    <row r="35" spans="1:7" ht="23.25">
      <c r="A35" s="127"/>
      <c r="B35" s="127" t="s">
        <v>531</v>
      </c>
      <c r="C35" s="106">
        <v>13609418.98</v>
      </c>
      <c r="D35" s="106">
        <v>2872698.26</v>
      </c>
      <c r="E35" s="106">
        <v>120014.1</v>
      </c>
      <c r="F35" s="106">
        <v>3798058.6</v>
      </c>
      <c r="G35" s="125">
        <v>12564044.539999999</v>
      </c>
    </row>
    <row r="36" spans="1:7">
      <c r="A36" s="127"/>
      <c r="B36" s="127" t="s">
        <v>532</v>
      </c>
      <c r="C36" s="107">
        <v>0</v>
      </c>
      <c r="D36" s="107">
        <v>0</v>
      </c>
      <c r="E36" s="107">
        <v>0</v>
      </c>
      <c r="F36" s="107">
        <v>0</v>
      </c>
      <c r="G36" s="124">
        <v>0</v>
      </c>
    </row>
    <row r="37" spans="1:7">
      <c r="A37" s="127"/>
      <c r="B37" s="127" t="s">
        <v>533</v>
      </c>
      <c r="C37" s="106">
        <v>9925625.5800000001</v>
      </c>
      <c r="D37" s="106">
        <v>1005531.66</v>
      </c>
      <c r="E37" s="107">
        <v>0</v>
      </c>
      <c r="F37" s="107">
        <v>0</v>
      </c>
      <c r="G37" s="125">
        <v>10931157.24</v>
      </c>
    </row>
    <row r="38" spans="1:7">
      <c r="A38" s="127"/>
      <c r="B38" s="127" t="s">
        <v>534</v>
      </c>
      <c r="C38" s="106">
        <v>326339641.81</v>
      </c>
      <c r="D38" s="106">
        <v>136241573.47999999</v>
      </c>
      <c r="E38" s="106">
        <v>1086463.8999999999</v>
      </c>
      <c r="F38" s="106">
        <v>93709139.079999998</v>
      </c>
      <c r="G38" s="125">
        <v>367785612.31</v>
      </c>
    </row>
    <row r="39" spans="1:7">
      <c r="A39" s="104"/>
      <c r="B39" s="104" t="s">
        <v>535</v>
      </c>
      <c r="C39" s="125">
        <v>6155984347.0100002</v>
      </c>
      <c r="D39" s="125">
        <v>514874088.13999999</v>
      </c>
      <c r="E39" s="125">
        <v>74205743.939999998</v>
      </c>
      <c r="F39" s="125">
        <v>1075942247.9400001</v>
      </c>
      <c r="G39" s="125">
        <v>5520710443.2700005</v>
      </c>
    </row>
    <row r="40" spans="1:7">
      <c r="A40" s="108"/>
      <c r="B40" s="332"/>
      <c r="C40" s="333"/>
      <c r="D40" s="333"/>
      <c r="E40" s="333"/>
      <c r="F40" s="333"/>
      <c r="G40" s="334"/>
    </row>
    <row r="42" spans="1:7">
      <c r="C42" s="18">
        <f>C39-'Bilans 31.12.2018'!E30</f>
        <v>0</v>
      </c>
      <c r="G42" s="18">
        <f>G39-'Bilans 31.12.2018'!F30</f>
        <v>0</v>
      </c>
    </row>
    <row r="44" spans="1:7">
      <c r="C44" s="18" t="e">
        <f>C39-#REF!</f>
        <v>#REF!</v>
      </c>
      <c r="D44" s="18" t="e">
        <f>D39-#REF!</f>
        <v>#REF!</v>
      </c>
      <c r="E44" s="18" t="e">
        <f>E39-#REF!</f>
        <v>#REF!</v>
      </c>
      <c r="F44" s="18" t="e">
        <f>F39-#REF!</f>
        <v>#REF!</v>
      </c>
      <c r="G44" s="18" t="e">
        <f>G39-#REF!</f>
        <v>#REF!</v>
      </c>
    </row>
  </sheetData>
  <mergeCells count="3">
    <mergeCell ref="A5:G5"/>
    <mergeCell ref="A7:G7"/>
    <mergeCell ref="B40:G40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6"/>
  <sheetViews>
    <sheetView workbookViewId="0">
      <selection activeCell="B47" sqref="B47"/>
    </sheetView>
  </sheetViews>
  <sheetFormatPr defaultRowHeight="15"/>
  <cols>
    <col min="1" max="1" width="36.5703125" bestFit="1" customWidth="1"/>
    <col min="2" max="2" width="15.28515625" bestFit="1" customWidth="1"/>
    <col min="3" max="3" width="13.85546875" bestFit="1" customWidth="1"/>
  </cols>
  <sheetData>
    <row r="3" spans="1:3">
      <c r="A3" s="321"/>
      <c r="B3" s="321"/>
      <c r="C3" s="321"/>
    </row>
    <row r="4" spans="1:3" ht="15" customHeight="1">
      <c r="A4" s="335" t="s">
        <v>536</v>
      </c>
      <c r="B4" s="336"/>
      <c r="C4" s="337"/>
    </row>
    <row r="5" spans="1:3">
      <c r="A5" s="94" t="s">
        <v>537</v>
      </c>
      <c r="B5" s="94" t="s">
        <v>2</v>
      </c>
      <c r="C5" s="94" t="s">
        <v>3</v>
      </c>
    </row>
    <row r="6" spans="1:3">
      <c r="A6" s="129" t="s">
        <v>538</v>
      </c>
      <c r="B6" s="130">
        <v>0</v>
      </c>
      <c r="C6" s="130">
        <v>0</v>
      </c>
    </row>
    <row r="7" spans="1:3">
      <c r="A7" s="108" t="s">
        <v>539</v>
      </c>
      <c r="B7" s="107">
        <v>0</v>
      </c>
      <c r="C7" s="107">
        <v>0</v>
      </c>
    </row>
    <row r="8" spans="1:3">
      <c r="A8" s="108" t="s">
        <v>540</v>
      </c>
      <c r="B8" s="107">
        <v>0</v>
      </c>
      <c r="C8" s="107">
        <v>0</v>
      </c>
    </row>
    <row r="9" spans="1:3">
      <c r="A9" s="108" t="s">
        <v>541</v>
      </c>
      <c r="B9" s="107">
        <v>0</v>
      </c>
      <c r="C9" s="107">
        <v>0</v>
      </c>
    </row>
    <row r="10" spans="1:3" ht="23.25">
      <c r="A10" s="129" t="s">
        <v>542</v>
      </c>
      <c r="B10" s="131">
        <f>SUM(B11:B13)</f>
        <v>161854.69999999998</v>
      </c>
      <c r="C10" s="131">
        <f>SUM(C11:C13)</f>
        <v>157348.59999999992</v>
      </c>
    </row>
    <row r="11" spans="1:3">
      <c r="A11" s="128" t="s">
        <v>539</v>
      </c>
      <c r="B11" s="106">
        <f>77827.9-62785</f>
        <v>15042.899999999994</v>
      </c>
      <c r="C11" s="106">
        <f>750411.45-734288.3</f>
        <v>16123.149999999907</v>
      </c>
    </row>
    <row r="12" spans="1:3">
      <c r="A12" s="128" t="s">
        <v>540</v>
      </c>
      <c r="B12" s="106">
        <v>20676.400000000001</v>
      </c>
      <c r="C12" s="106">
        <v>21492.9</v>
      </c>
    </row>
    <row r="13" spans="1:3">
      <c r="A13" s="128" t="s">
        <v>541</v>
      </c>
      <c r="B13" s="106">
        <v>126135.4</v>
      </c>
      <c r="C13" s="106">
        <v>119732.55</v>
      </c>
    </row>
    <row r="14" spans="1:3" ht="23.25">
      <c r="A14" s="129" t="s">
        <v>543</v>
      </c>
      <c r="B14" s="131">
        <v>147301.25</v>
      </c>
      <c r="C14" s="131">
        <v>111983.22</v>
      </c>
    </row>
    <row r="15" spans="1:3">
      <c r="A15" s="128" t="s">
        <v>539</v>
      </c>
      <c r="B15" s="106">
        <v>78580.67</v>
      </c>
      <c r="C15" s="106">
        <v>52905.58</v>
      </c>
    </row>
    <row r="16" spans="1:3">
      <c r="A16" s="128" t="s">
        <v>540</v>
      </c>
      <c r="B16" s="106">
        <v>34493.1</v>
      </c>
      <c r="C16" s="106">
        <v>34010.35</v>
      </c>
    </row>
    <row r="17" spans="1:3">
      <c r="A17" s="128" t="s">
        <v>541</v>
      </c>
      <c r="B17" s="106">
        <v>34227.480000000003</v>
      </c>
      <c r="C17" s="106">
        <v>25067.29</v>
      </c>
    </row>
    <row r="18" spans="1:3">
      <c r="A18" s="129" t="s">
        <v>535</v>
      </c>
      <c r="B18" s="131">
        <f>B6+B10+B14</f>
        <v>309155.94999999995</v>
      </c>
      <c r="C18" s="131">
        <f>C6+C10+C14</f>
        <v>269331.81999999995</v>
      </c>
    </row>
    <row r="19" spans="1:3">
      <c r="A19" s="322"/>
      <c r="B19" s="322"/>
      <c r="C19" s="322"/>
    </row>
    <row r="20" spans="1:3">
      <c r="A20" s="323"/>
      <c r="B20" s="323"/>
      <c r="C20" s="323"/>
    </row>
    <row r="22" spans="1:3">
      <c r="B22" s="18">
        <f>B18-'Bilans 31.12.2018'!E18</f>
        <v>0</v>
      </c>
      <c r="C22" s="18">
        <f>C18-'Bilans 31.12.2018'!F18</f>
        <v>0</v>
      </c>
    </row>
    <row r="24" spans="1:3">
      <c r="B24" s="18" t="e">
        <f>B10-#REF!</f>
        <v>#REF!</v>
      </c>
      <c r="C24" s="18" t="e">
        <f>C10-#REF!</f>
        <v>#REF!</v>
      </c>
    </row>
    <row r="25" spans="1:3">
      <c r="B25" s="18" t="e">
        <f>B14-#REF!</f>
        <v>#REF!</v>
      </c>
      <c r="C25" s="18" t="e">
        <f>C14-#REF!</f>
        <v>#REF!</v>
      </c>
    </row>
    <row r="26" spans="1:3">
      <c r="B26" s="18" t="e">
        <f>B18-#REF!</f>
        <v>#REF!</v>
      </c>
      <c r="C26" s="18" t="e">
        <f>C18-#REF!</f>
        <v>#REF!</v>
      </c>
    </row>
  </sheetData>
  <mergeCells count="4">
    <mergeCell ref="A3:C3"/>
    <mergeCell ref="A4:C4"/>
    <mergeCell ref="A19:C19"/>
    <mergeCell ref="A20:C20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3"/>
  <sheetViews>
    <sheetView workbookViewId="0">
      <selection activeCell="B47" sqref="B47"/>
    </sheetView>
  </sheetViews>
  <sheetFormatPr defaultRowHeight="15"/>
  <cols>
    <col min="1" max="1" width="30" style="92" bestFit="1" customWidth="1"/>
    <col min="2" max="2" width="15.28515625" style="92" bestFit="1" customWidth="1"/>
    <col min="3" max="3" width="13.85546875" style="92" bestFit="1" customWidth="1"/>
    <col min="4" max="16384" width="9.140625" style="92"/>
  </cols>
  <sheetData>
    <row r="3" spans="1:3">
      <c r="A3" s="19"/>
    </row>
    <row r="4" spans="1:3">
      <c r="A4" s="19"/>
    </row>
    <row r="5" spans="1:3" ht="60" customHeight="1">
      <c r="A5" s="305" t="s">
        <v>544</v>
      </c>
      <c r="B5" s="306"/>
      <c r="C5" s="306"/>
    </row>
    <row r="7" spans="1:3">
      <c r="A7" s="307"/>
      <c r="B7" s="307"/>
      <c r="C7" s="307"/>
    </row>
    <row r="8" spans="1:3">
      <c r="A8" s="94" t="s">
        <v>537</v>
      </c>
      <c r="B8" s="94" t="s">
        <v>2</v>
      </c>
      <c r="C8" s="94" t="s">
        <v>3</v>
      </c>
    </row>
    <row r="9" spans="1:3">
      <c r="A9" s="95" t="s">
        <v>545</v>
      </c>
      <c r="B9" s="96">
        <v>0</v>
      </c>
      <c r="C9" s="96">
        <v>0</v>
      </c>
    </row>
    <row r="10" spans="1:3">
      <c r="A10" s="95" t="s">
        <v>546</v>
      </c>
      <c r="B10" s="96">
        <v>0</v>
      </c>
      <c r="C10" s="96">
        <v>0</v>
      </c>
    </row>
    <row r="11" spans="1:3">
      <c r="A11" s="95" t="s">
        <v>485</v>
      </c>
      <c r="B11" s="96">
        <v>0</v>
      </c>
      <c r="C11" s="96">
        <v>0</v>
      </c>
    </row>
    <row r="12" spans="1:3">
      <c r="A12" s="313"/>
      <c r="B12" s="313"/>
      <c r="C12" s="313"/>
    </row>
    <row r="13" spans="1:3">
      <c r="A13" s="304"/>
      <c r="B13" s="304"/>
      <c r="C13" s="304"/>
    </row>
  </sheetData>
  <mergeCells count="4">
    <mergeCell ref="A5:C5"/>
    <mergeCell ref="A7:C7"/>
    <mergeCell ref="A12:C12"/>
    <mergeCell ref="A13:C1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3"/>
  <sheetViews>
    <sheetView workbookViewId="0">
      <selection activeCell="B47" sqref="B47"/>
    </sheetView>
  </sheetViews>
  <sheetFormatPr defaultRowHeight="15"/>
  <cols>
    <col min="1" max="1" width="36.5703125" bestFit="1" customWidth="1"/>
    <col min="2" max="2" width="9.7109375" bestFit="1" customWidth="1"/>
    <col min="3" max="3" width="10.85546875" bestFit="1" customWidth="1"/>
    <col min="4" max="4" width="6.7109375" customWidth="1"/>
    <col min="5" max="5" width="9" customWidth="1"/>
  </cols>
  <sheetData>
    <row r="3" spans="1:5">
      <c r="A3" s="19"/>
    </row>
    <row r="4" spans="1:5">
      <c r="A4" s="19"/>
    </row>
    <row r="5" spans="1:5" ht="15" customHeight="1">
      <c r="A5" s="305" t="s">
        <v>547</v>
      </c>
      <c r="B5" s="320"/>
      <c r="C5" s="320"/>
      <c r="D5" s="320"/>
      <c r="E5" s="320"/>
    </row>
    <row r="7" spans="1:5">
      <c r="A7" s="321"/>
      <c r="B7" s="321"/>
      <c r="C7" s="321"/>
      <c r="D7" s="321"/>
      <c r="E7" s="321"/>
    </row>
    <row r="8" spans="1:5">
      <c r="A8" s="317" t="s">
        <v>420</v>
      </c>
      <c r="B8" s="308" t="s">
        <v>548</v>
      </c>
      <c r="C8" s="309"/>
      <c r="D8" s="308" t="s">
        <v>549</v>
      </c>
      <c r="E8" s="309"/>
    </row>
    <row r="9" spans="1:5">
      <c r="A9" s="318"/>
      <c r="B9" s="94" t="s">
        <v>550</v>
      </c>
      <c r="C9" s="94" t="s">
        <v>551</v>
      </c>
      <c r="D9" s="94" t="s">
        <v>552</v>
      </c>
      <c r="E9" s="94" t="s">
        <v>553</v>
      </c>
    </row>
    <row r="10" spans="1:5" ht="15" customHeight="1">
      <c r="A10" s="332" t="s">
        <v>554</v>
      </c>
      <c r="B10" s="333"/>
      <c r="C10" s="333"/>
      <c r="D10" s="333"/>
      <c r="E10" s="334"/>
    </row>
    <row r="11" spans="1:5">
      <c r="A11" s="108" t="s">
        <v>555</v>
      </c>
      <c r="B11" s="107">
        <v>0</v>
      </c>
      <c r="C11" s="107">
        <v>0</v>
      </c>
      <c r="D11" s="107">
        <v>0</v>
      </c>
      <c r="E11" s="107">
        <v>0</v>
      </c>
    </row>
    <row r="12" spans="1:5" ht="30">
      <c r="A12" s="108" t="s">
        <v>556</v>
      </c>
      <c r="B12" s="107">
        <v>0</v>
      </c>
      <c r="C12" s="107">
        <v>0</v>
      </c>
      <c r="D12" s="107">
        <v>0</v>
      </c>
      <c r="E12" s="107">
        <v>0</v>
      </c>
    </row>
    <row r="13" spans="1:5">
      <c r="A13" s="108" t="s">
        <v>557</v>
      </c>
      <c r="B13" s="107">
        <v>0</v>
      </c>
      <c r="C13" s="107">
        <v>0</v>
      </c>
      <c r="D13" s="107">
        <v>0</v>
      </c>
      <c r="E13" s="107">
        <v>0</v>
      </c>
    </row>
    <row r="14" spans="1:5">
      <c r="A14" s="108" t="s">
        <v>558</v>
      </c>
      <c r="B14" s="107">
        <v>0</v>
      </c>
      <c r="C14" s="107">
        <v>0</v>
      </c>
      <c r="D14" s="107">
        <v>0</v>
      </c>
      <c r="E14" s="107">
        <v>0</v>
      </c>
    </row>
    <row r="15" spans="1:5">
      <c r="A15" s="108"/>
      <c r="B15" s="107">
        <v>0</v>
      </c>
      <c r="C15" s="107">
        <v>0</v>
      </c>
      <c r="D15" s="107">
        <v>0</v>
      </c>
      <c r="E15" s="107">
        <v>0</v>
      </c>
    </row>
    <row r="16" spans="1:5">
      <c r="A16" s="108"/>
      <c r="B16" s="107">
        <v>0</v>
      </c>
      <c r="C16" s="107">
        <v>0</v>
      </c>
      <c r="D16" s="107">
        <v>0</v>
      </c>
      <c r="E16" s="107">
        <v>0</v>
      </c>
    </row>
    <row r="17" spans="1:7">
      <c r="A17" s="108"/>
      <c r="B17" s="107">
        <v>0</v>
      </c>
      <c r="C17" s="107">
        <v>0</v>
      </c>
      <c r="D17" s="107">
        <v>0</v>
      </c>
      <c r="E17" s="107">
        <v>0</v>
      </c>
      <c r="G17" s="132">
        <v>3</v>
      </c>
    </row>
    <row r="18" spans="1:7">
      <c r="A18" s="108"/>
      <c r="B18" s="107">
        <v>0</v>
      </c>
      <c r="C18" s="107">
        <v>0</v>
      </c>
      <c r="D18" s="107">
        <v>0</v>
      </c>
      <c r="E18" s="107">
        <v>0</v>
      </c>
    </row>
    <row r="19" spans="1:7">
      <c r="A19" s="108"/>
      <c r="B19" s="107">
        <v>0</v>
      </c>
      <c r="C19" s="107">
        <v>0</v>
      </c>
      <c r="D19" s="107">
        <v>0</v>
      </c>
      <c r="E19" s="107">
        <v>0</v>
      </c>
    </row>
    <row r="20" spans="1:7">
      <c r="A20" s="108" t="s">
        <v>485</v>
      </c>
      <c r="B20" s="107">
        <v>0</v>
      </c>
      <c r="C20" s="107">
        <v>0</v>
      </c>
      <c r="D20" s="107">
        <v>0</v>
      </c>
      <c r="E20" s="107">
        <v>0</v>
      </c>
    </row>
    <row r="21" spans="1:7" ht="15" customHeight="1">
      <c r="A21" s="332" t="s">
        <v>559</v>
      </c>
      <c r="B21" s="333"/>
      <c r="C21" s="333"/>
      <c r="D21" s="333"/>
      <c r="E21" s="334"/>
    </row>
    <row r="22" spans="1:7">
      <c r="A22" s="108" t="s">
        <v>555</v>
      </c>
      <c r="B22" s="107">
        <v>0</v>
      </c>
      <c r="C22" s="107">
        <v>0</v>
      </c>
      <c r="D22" s="107">
        <v>0</v>
      </c>
      <c r="E22" s="107">
        <v>0</v>
      </c>
    </row>
    <row r="23" spans="1:7" ht="30">
      <c r="A23" s="108" t="s">
        <v>556</v>
      </c>
      <c r="B23" s="107">
        <v>0</v>
      </c>
      <c r="C23" s="107">
        <v>0</v>
      </c>
      <c r="D23" s="107">
        <v>0</v>
      </c>
      <c r="E23" s="107">
        <v>0</v>
      </c>
    </row>
    <row r="24" spans="1:7">
      <c r="A24" s="108" t="s">
        <v>557</v>
      </c>
      <c r="B24" s="107">
        <v>0</v>
      </c>
      <c r="C24" s="107">
        <v>0</v>
      </c>
      <c r="D24" s="107">
        <v>0</v>
      </c>
      <c r="E24" s="107">
        <v>0</v>
      </c>
    </row>
    <row r="25" spans="1:7">
      <c r="A25" s="108" t="s">
        <v>558</v>
      </c>
      <c r="B25" s="107">
        <v>0</v>
      </c>
      <c r="C25" s="107">
        <v>0</v>
      </c>
      <c r="D25" s="107">
        <v>0</v>
      </c>
      <c r="E25" s="107">
        <v>0</v>
      </c>
    </row>
    <row r="26" spans="1:7">
      <c r="A26" s="108"/>
      <c r="B26" s="107">
        <v>0</v>
      </c>
      <c r="C26" s="107">
        <v>0</v>
      </c>
      <c r="D26" s="107">
        <v>0</v>
      </c>
      <c r="E26" s="107">
        <v>0</v>
      </c>
    </row>
    <row r="27" spans="1:7">
      <c r="A27" s="108"/>
      <c r="B27" s="107">
        <v>0</v>
      </c>
      <c r="C27" s="107">
        <v>0</v>
      </c>
      <c r="D27" s="107">
        <v>0</v>
      </c>
      <c r="E27" s="107">
        <v>0</v>
      </c>
    </row>
    <row r="28" spans="1:7">
      <c r="A28" s="108" t="s">
        <v>560</v>
      </c>
      <c r="B28" s="107">
        <v>0</v>
      </c>
      <c r="C28" s="107">
        <v>0</v>
      </c>
      <c r="D28" s="107">
        <v>0</v>
      </c>
      <c r="E28" s="107">
        <v>0</v>
      </c>
    </row>
    <row r="29" spans="1:7">
      <c r="A29" s="108"/>
      <c r="B29" s="107">
        <v>0</v>
      </c>
      <c r="C29" s="107">
        <v>0</v>
      </c>
      <c r="D29" s="107">
        <v>0</v>
      </c>
      <c r="E29" s="107">
        <v>0</v>
      </c>
    </row>
    <row r="30" spans="1:7">
      <c r="A30" s="108"/>
      <c r="B30" s="107">
        <v>0</v>
      </c>
      <c r="C30" s="107">
        <v>0</v>
      </c>
      <c r="D30" s="107">
        <v>0</v>
      </c>
      <c r="E30" s="107">
        <v>0</v>
      </c>
    </row>
    <row r="31" spans="1:7">
      <c r="A31" s="108" t="s">
        <v>485</v>
      </c>
      <c r="B31" s="107">
        <v>0</v>
      </c>
      <c r="C31" s="107">
        <v>0</v>
      </c>
      <c r="D31" s="107">
        <v>0</v>
      </c>
      <c r="E31" s="107">
        <v>0</v>
      </c>
    </row>
    <row r="32" spans="1:7">
      <c r="A32" s="322"/>
      <c r="B32" s="322"/>
      <c r="C32" s="322"/>
      <c r="D32" s="322"/>
      <c r="E32" s="322"/>
    </row>
    <row r="33" spans="1:5">
      <c r="A33" s="323"/>
      <c r="B33" s="323"/>
      <c r="C33" s="323"/>
      <c r="D33" s="323"/>
      <c r="E33" s="323"/>
    </row>
  </sheetData>
  <mergeCells count="9">
    <mergeCell ref="A21:E21"/>
    <mergeCell ref="A32:E32"/>
    <mergeCell ref="A33:E33"/>
    <mergeCell ref="A5:E5"/>
    <mergeCell ref="A7:E7"/>
    <mergeCell ref="A8:A9"/>
    <mergeCell ref="B8:C8"/>
    <mergeCell ref="D8:E8"/>
    <mergeCell ref="A10:E10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21"/>
  <sheetViews>
    <sheetView workbookViewId="0">
      <selection activeCell="B47" sqref="B47"/>
    </sheetView>
  </sheetViews>
  <sheetFormatPr defaultRowHeight="15"/>
  <cols>
    <col min="1" max="1" width="36.140625" bestFit="1" customWidth="1"/>
    <col min="2" max="2" width="15.28515625" bestFit="1" customWidth="1"/>
    <col min="3" max="3" width="13.85546875" bestFit="1" customWidth="1"/>
    <col min="4" max="4" width="36.5703125" bestFit="1" customWidth="1"/>
  </cols>
  <sheetData>
    <row r="3" spans="1:4">
      <c r="A3" s="19"/>
    </row>
    <row r="4" spans="1:4">
      <c r="A4" s="19"/>
    </row>
    <row r="5" spans="1:4" ht="30" customHeight="1">
      <c r="A5" s="305" t="s">
        <v>561</v>
      </c>
      <c r="B5" s="320"/>
      <c r="C5" s="320"/>
      <c r="D5" s="320"/>
    </row>
    <row r="7" spans="1:4">
      <c r="A7" s="321"/>
      <c r="B7" s="321"/>
      <c r="C7" s="321"/>
      <c r="D7" s="321"/>
    </row>
    <row r="8" spans="1:4" ht="23.25">
      <c r="A8" s="94" t="s">
        <v>562</v>
      </c>
      <c r="B8" s="94" t="s">
        <v>2</v>
      </c>
      <c r="C8" s="94" t="s">
        <v>3</v>
      </c>
      <c r="D8" s="94" t="s">
        <v>563</v>
      </c>
    </row>
    <row r="9" spans="1:4">
      <c r="A9" s="128" t="s">
        <v>564</v>
      </c>
      <c r="B9" s="97">
        <v>36582834.600000001</v>
      </c>
      <c r="C9" s="97">
        <v>37715166.700000003</v>
      </c>
      <c r="D9" s="108"/>
    </row>
    <row r="10" spans="1:4">
      <c r="A10" s="128" t="s">
        <v>565</v>
      </c>
      <c r="B10" s="96">
        <v>0</v>
      </c>
      <c r="C10" s="96">
        <v>0</v>
      </c>
      <c r="D10" s="108"/>
    </row>
    <row r="11" spans="1:4">
      <c r="A11" s="127" t="s">
        <v>566</v>
      </c>
      <c r="B11" s="96">
        <v>0</v>
      </c>
      <c r="C11" s="96">
        <v>0</v>
      </c>
      <c r="D11" s="108"/>
    </row>
    <row r="12" spans="1:4">
      <c r="A12" s="128" t="s">
        <v>567</v>
      </c>
      <c r="B12" s="96">
        <v>0</v>
      </c>
      <c r="C12" s="96">
        <v>0</v>
      </c>
      <c r="D12" s="108"/>
    </row>
    <row r="13" spans="1:4">
      <c r="A13" s="128" t="s">
        <v>568</v>
      </c>
      <c r="B13" s="96">
        <v>0</v>
      </c>
      <c r="C13" s="96">
        <v>0</v>
      </c>
      <c r="D13" s="108"/>
    </row>
    <row r="14" spans="1:4">
      <c r="A14" s="128" t="s">
        <v>569</v>
      </c>
      <c r="B14" s="96">
        <v>0</v>
      </c>
      <c r="C14" s="96">
        <v>0</v>
      </c>
      <c r="D14" s="108"/>
    </row>
    <row r="15" spans="1:4">
      <c r="A15" s="128" t="s">
        <v>570</v>
      </c>
      <c r="B15" s="96">
        <v>0</v>
      </c>
      <c r="C15" s="96">
        <v>0</v>
      </c>
      <c r="D15" s="108"/>
    </row>
    <row r="16" spans="1:4">
      <c r="A16" s="128" t="s">
        <v>571</v>
      </c>
      <c r="B16" s="96">
        <v>0</v>
      </c>
      <c r="C16" s="96">
        <v>0</v>
      </c>
      <c r="D16" s="108"/>
    </row>
    <row r="17" spans="1:4">
      <c r="A17" s="128" t="s">
        <v>297</v>
      </c>
      <c r="B17" s="96">
        <v>0</v>
      </c>
      <c r="C17" s="96">
        <v>0</v>
      </c>
      <c r="D17" s="108"/>
    </row>
    <row r="18" spans="1:4">
      <c r="A18" s="129" t="s">
        <v>535</v>
      </c>
      <c r="B18" s="101">
        <v>36582834.600000001</v>
      </c>
      <c r="C18" s="101">
        <v>37715166.700000003</v>
      </c>
      <c r="D18" s="108"/>
    </row>
    <row r="19" spans="1:4">
      <c r="A19" s="322"/>
      <c r="B19" s="322"/>
      <c r="C19" s="322"/>
      <c r="D19" s="322"/>
    </row>
    <row r="20" spans="1:4">
      <c r="A20" s="323"/>
      <c r="B20" s="323"/>
      <c r="C20" s="323"/>
      <c r="D20" s="323"/>
    </row>
    <row r="21" spans="1:4">
      <c r="B21" s="18" t="e">
        <f>B18-#REF!</f>
        <v>#REF!</v>
      </c>
      <c r="C21" s="18" t="e">
        <f>C18-#REF!</f>
        <v>#REF!</v>
      </c>
    </row>
  </sheetData>
  <mergeCells count="4">
    <mergeCell ref="A5:D5"/>
    <mergeCell ref="A7:D7"/>
    <mergeCell ref="A19:D19"/>
    <mergeCell ref="A20:D20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40"/>
  <sheetViews>
    <sheetView topLeftCell="A19" workbookViewId="0">
      <selection activeCell="B47" sqref="B47"/>
    </sheetView>
  </sheetViews>
  <sheetFormatPr defaultRowHeight="15"/>
  <cols>
    <col min="1" max="1" width="1.85546875" customWidth="1"/>
    <col min="2" max="2" width="36.5703125" bestFit="1" customWidth="1"/>
    <col min="3" max="3" width="15.28515625" customWidth="1"/>
    <col min="4" max="4" width="22.5703125" customWidth="1"/>
  </cols>
  <sheetData>
    <row r="3" spans="1:4">
      <c r="A3" s="19"/>
    </row>
    <row r="4" spans="1:4">
      <c r="A4" s="19"/>
    </row>
    <row r="5" spans="1:4" ht="15" customHeight="1">
      <c r="A5" s="305" t="s">
        <v>572</v>
      </c>
      <c r="B5" s="320"/>
      <c r="C5" s="320"/>
      <c r="D5" s="320"/>
    </row>
    <row r="7" spans="1:4">
      <c r="A7" s="321"/>
      <c r="B7" s="321"/>
      <c r="C7" s="321"/>
      <c r="D7" s="321"/>
    </row>
    <row r="8" spans="1:4">
      <c r="A8" s="308" t="s">
        <v>573</v>
      </c>
      <c r="B8" s="309"/>
      <c r="C8" s="94" t="s">
        <v>2</v>
      </c>
      <c r="D8" s="94" t="s">
        <v>494</v>
      </c>
    </row>
    <row r="9" spans="1:4" ht="23.25">
      <c r="A9" s="122">
        <v>1</v>
      </c>
      <c r="B9" s="123" t="s">
        <v>574</v>
      </c>
      <c r="C9" s="107">
        <v>0</v>
      </c>
      <c r="D9" s="107">
        <v>0</v>
      </c>
    </row>
    <row r="10" spans="1:4">
      <c r="A10" s="122">
        <v>2</v>
      </c>
      <c r="B10" s="123" t="s">
        <v>575</v>
      </c>
      <c r="C10" s="107">
        <v>0</v>
      </c>
      <c r="D10" s="107">
        <v>0</v>
      </c>
    </row>
    <row r="11" spans="1:4">
      <c r="A11" s="122">
        <v>3</v>
      </c>
      <c r="B11" s="123" t="s">
        <v>576</v>
      </c>
      <c r="C11" s="107">
        <v>0</v>
      </c>
      <c r="D11" s="107">
        <v>0</v>
      </c>
    </row>
    <row r="12" spans="1:4" ht="23.25">
      <c r="A12" s="122">
        <v>4</v>
      </c>
      <c r="B12" s="123" t="s">
        <v>577</v>
      </c>
      <c r="C12" s="106">
        <v>2863773817.1900001</v>
      </c>
      <c r="D12" s="106">
        <v>2861861817.1900001</v>
      </c>
    </row>
    <row r="13" spans="1:4" ht="23.25">
      <c r="A13" s="122">
        <v>5</v>
      </c>
      <c r="B13" s="123" t="s">
        <v>578</v>
      </c>
      <c r="C13" s="106">
        <v>84440200</v>
      </c>
      <c r="D13" s="106">
        <v>24111084</v>
      </c>
    </row>
    <row r="14" spans="1:4">
      <c r="A14" s="122">
        <v>6</v>
      </c>
      <c r="B14" s="123" t="s">
        <v>579</v>
      </c>
      <c r="C14" s="107">
        <v>0</v>
      </c>
      <c r="D14" s="107">
        <v>0</v>
      </c>
    </row>
    <row r="15" spans="1:4" ht="23.25">
      <c r="A15" s="122">
        <v>7</v>
      </c>
      <c r="B15" s="123" t="s">
        <v>580</v>
      </c>
      <c r="C15" s="106">
        <v>132100.64000000001</v>
      </c>
      <c r="D15" s="106">
        <v>136910.9</v>
      </c>
    </row>
    <row r="16" spans="1:4" ht="23.25">
      <c r="A16" s="122">
        <v>8</v>
      </c>
      <c r="B16" s="123" t="s">
        <v>581</v>
      </c>
      <c r="C16" s="106">
        <v>5473684.96</v>
      </c>
      <c r="D16" s="106">
        <v>5949958</v>
      </c>
    </row>
    <row r="17" spans="1:4">
      <c r="A17" s="122">
        <v>9</v>
      </c>
      <c r="B17" s="123" t="s">
        <v>582</v>
      </c>
      <c r="C17" s="133">
        <v>898675397.95000005</v>
      </c>
      <c r="D17" s="133">
        <v>509574004.97000003</v>
      </c>
    </row>
    <row r="18" spans="1:4">
      <c r="A18" s="134"/>
      <c r="B18" s="127" t="s">
        <v>515</v>
      </c>
      <c r="C18" s="106">
        <v>101106712.61</v>
      </c>
      <c r="D18" s="106">
        <v>93035705.049999997</v>
      </c>
    </row>
    <row r="19" spans="1:4">
      <c r="A19" s="134"/>
      <c r="B19" s="127" t="s">
        <v>516</v>
      </c>
      <c r="C19" s="106">
        <v>17822007.780000001</v>
      </c>
      <c r="D19" s="106">
        <v>17822007.780000001</v>
      </c>
    </row>
    <row r="20" spans="1:4">
      <c r="A20" s="134"/>
      <c r="B20" s="127" t="s">
        <v>517</v>
      </c>
      <c r="C20" s="106">
        <v>425045.31</v>
      </c>
      <c r="D20" s="106">
        <v>169999</v>
      </c>
    </row>
    <row r="21" spans="1:4" ht="34.5">
      <c r="A21" s="134"/>
      <c r="B21" s="127" t="s">
        <v>518</v>
      </c>
      <c r="C21" s="106">
        <v>3500000</v>
      </c>
      <c r="D21" s="106">
        <v>3500000</v>
      </c>
    </row>
    <row r="22" spans="1:4">
      <c r="A22" s="134"/>
      <c r="B22" s="127" t="s">
        <v>519</v>
      </c>
      <c r="C22" s="106">
        <v>2060000</v>
      </c>
      <c r="D22" s="106">
        <v>2060000</v>
      </c>
    </row>
    <row r="23" spans="1:4">
      <c r="A23" s="134"/>
      <c r="B23" s="127" t="s">
        <v>520</v>
      </c>
      <c r="C23" s="107">
        <v>0</v>
      </c>
      <c r="D23" s="107">
        <v>0</v>
      </c>
    </row>
    <row r="24" spans="1:4">
      <c r="A24" s="134"/>
      <c r="B24" s="127" t="s">
        <v>521</v>
      </c>
      <c r="C24" s="106">
        <v>520374</v>
      </c>
      <c r="D24" s="106">
        <v>757289.97</v>
      </c>
    </row>
    <row r="25" spans="1:4" ht="23.25">
      <c r="A25" s="134"/>
      <c r="B25" s="127" t="s">
        <v>522</v>
      </c>
      <c r="C25" s="106">
        <v>48186141.789999999</v>
      </c>
      <c r="D25" s="106">
        <v>96759629.790000007</v>
      </c>
    </row>
    <row r="26" spans="1:4">
      <c r="A26" s="134"/>
      <c r="B26" s="127" t="s">
        <v>523</v>
      </c>
      <c r="C26" s="106">
        <v>32579.29</v>
      </c>
      <c r="D26" s="107">
        <v>0</v>
      </c>
    </row>
    <row r="27" spans="1:4">
      <c r="A27" s="134"/>
      <c r="B27" s="127" t="s">
        <v>524</v>
      </c>
      <c r="C27" s="107">
        <v>0</v>
      </c>
      <c r="D27" s="106">
        <v>132209925.7</v>
      </c>
    </row>
    <row r="28" spans="1:4">
      <c r="A28" s="134"/>
      <c r="B28" s="127" t="s">
        <v>525</v>
      </c>
      <c r="C28" s="107">
        <v>0</v>
      </c>
      <c r="D28" s="107">
        <v>0</v>
      </c>
    </row>
    <row r="29" spans="1:4">
      <c r="A29" s="128"/>
      <c r="B29" s="127" t="s">
        <v>526</v>
      </c>
      <c r="C29" s="106">
        <v>303579.57</v>
      </c>
      <c r="D29" s="106">
        <v>303579.57</v>
      </c>
    </row>
    <row r="30" spans="1:4">
      <c r="A30" s="128"/>
      <c r="B30" s="127" t="s">
        <v>527</v>
      </c>
      <c r="C30" s="106">
        <v>4696616.4400000004</v>
      </c>
      <c r="D30" s="106">
        <v>5878134.79</v>
      </c>
    </row>
    <row r="31" spans="1:4">
      <c r="A31" s="128"/>
      <c r="B31" s="127" t="s">
        <v>528</v>
      </c>
      <c r="C31" s="106">
        <v>121000</v>
      </c>
      <c r="D31" s="106">
        <v>121000</v>
      </c>
    </row>
    <row r="32" spans="1:4">
      <c r="A32" s="128"/>
      <c r="B32" s="127" t="s">
        <v>529</v>
      </c>
      <c r="C32" s="106">
        <v>4581458</v>
      </c>
      <c r="D32" s="106">
        <v>3105653</v>
      </c>
    </row>
    <row r="33" spans="1:4" ht="23.25">
      <c r="A33" s="128"/>
      <c r="B33" s="127" t="s">
        <v>530</v>
      </c>
      <c r="C33" s="107">
        <v>0</v>
      </c>
      <c r="D33" s="107">
        <v>0</v>
      </c>
    </row>
    <row r="34" spans="1:4" ht="23.25">
      <c r="A34" s="128"/>
      <c r="B34" s="127" t="s">
        <v>531</v>
      </c>
      <c r="C34" s="106">
        <v>1512621.43</v>
      </c>
      <c r="D34" s="106">
        <v>1162699.43</v>
      </c>
    </row>
    <row r="35" spans="1:4">
      <c r="A35" s="128"/>
      <c r="B35" s="127" t="s">
        <v>532</v>
      </c>
      <c r="C35" s="107">
        <v>0</v>
      </c>
      <c r="D35" s="107">
        <v>0</v>
      </c>
    </row>
    <row r="36" spans="1:4">
      <c r="A36" s="128"/>
      <c r="B36" s="127" t="s">
        <v>533</v>
      </c>
      <c r="C36" s="107">
        <v>0</v>
      </c>
      <c r="D36" s="106">
        <v>5000</v>
      </c>
    </row>
    <row r="37" spans="1:4">
      <c r="A37" s="128"/>
      <c r="B37" s="127" t="s">
        <v>583</v>
      </c>
      <c r="C37" s="106">
        <v>713807261.73000002</v>
      </c>
      <c r="D37" s="106">
        <v>152683380.88999999</v>
      </c>
    </row>
    <row r="38" spans="1:4">
      <c r="A38" s="128"/>
      <c r="B38" s="123" t="s">
        <v>584</v>
      </c>
      <c r="C38" s="133">
        <v>3852495200.7399998</v>
      </c>
      <c r="D38" s="133">
        <v>3401633775.0599999</v>
      </c>
    </row>
    <row r="40" spans="1:4">
      <c r="C40" s="18" t="e">
        <f>C38-#REF!</f>
        <v>#REF!</v>
      </c>
      <c r="D40" s="18" t="e">
        <f>D38-#REF!</f>
        <v>#REF!</v>
      </c>
    </row>
  </sheetData>
  <mergeCells count="3">
    <mergeCell ref="A5:D5"/>
    <mergeCell ref="A7:D7"/>
    <mergeCell ref="A8:B8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4"/>
  <sheetViews>
    <sheetView topLeftCell="A13" workbookViewId="0">
      <selection activeCell="B47" sqref="B47"/>
    </sheetView>
  </sheetViews>
  <sheetFormatPr defaultRowHeight="15"/>
  <cols>
    <col min="1" max="1" width="36.5703125" bestFit="1" customWidth="1"/>
    <col min="2" max="2" width="22.28515625" bestFit="1" customWidth="1"/>
    <col min="3" max="3" width="19.85546875" bestFit="1" customWidth="1"/>
  </cols>
  <sheetData>
    <row r="3" spans="1:6">
      <c r="A3" s="19"/>
    </row>
    <row r="4" spans="1:6">
      <c r="A4" s="19"/>
    </row>
    <row r="5" spans="1:6" ht="15" customHeight="1">
      <c r="A5" s="305" t="s">
        <v>585</v>
      </c>
      <c r="B5" s="320"/>
      <c r="C5" s="320"/>
    </row>
    <row r="7" spans="1:6">
      <c r="A7" s="321"/>
      <c r="B7" s="321"/>
      <c r="C7" s="321"/>
    </row>
    <row r="8" spans="1:6">
      <c r="A8" s="105" t="s">
        <v>586</v>
      </c>
      <c r="B8" s="105" t="s">
        <v>2</v>
      </c>
      <c r="C8" s="105" t="s">
        <v>3</v>
      </c>
    </row>
    <row r="9" spans="1:6">
      <c r="A9" s="135" t="s">
        <v>587</v>
      </c>
      <c r="B9" s="131">
        <v>460522.17</v>
      </c>
      <c r="C9" s="136">
        <v>326634.17</v>
      </c>
      <c r="E9" s="18" t="e">
        <f>B9-#REF!</f>
        <v>#REF!</v>
      </c>
      <c r="F9" s="18" t="e">
        <f>C9-#REF!</f>
        <v>#REF!</v>
      </c>
    </row>
    <row r="10" spans="1:6" ht="54">
      <c r="A10" s="46" t="s">
        <v>588</v>
      </c>
      <c r="B10" s="107">
        <v>0</v>
      </c>
      <c r="C10" s="107">
        <v>0</v>
      </c>
    </row>
    <row r="11" spans="1:6" ht="22.5">
      <c r="A11" s="46" t="s">
        <v>589</v>
      </c>
      <c r="B11" s="107">
        <v>0</v>
      </c>
      <c r="C11" s="107">
        <v>0</v>
      </c>
    </row>
    <row r="12" spans="1:6">
      <c r="A12" s="46" t="s">
        <v>590</v>
      </c>
      <c r="B12" s="106">
        <v>147301.25</v>
      </c>
      <c r="C12" s="106">
        <v>97414.18</v>
      </c>
    </row>
    <row r="13" spans="1:6" ht="22.5">
      <c r="A13" s="46" t="s">
        <v>591</v>
      </c>
      <c r="B13" s="107">
        <v>0</v>
      </c>
      <c r="C13" s="107">
        <v>0</v>
      </c>
    </row>
    <row r="14" spans="1:6" ht="22.5">
      <c r="A14" s="46" t="s">
        <v>592</v>
      </c>
      <c r="B14" s="106">
        <v>164147.65</v>
      </c>
      <c r="C14" s="106">
        <v>79888.91</v>
      </c>
    </row>
    <row r="15" spans="1:6">
      <c r="A15" s="46" t="s">
        <v>593</v>
      </c>
      <c r="B15" s="106">
        <v>5266.19</v>
      </c>
      <c r="C15" s="107">
        <v>0</v>
      </c>
    </row>
    <row r="16" spans="1:6">
      <c r="A16" s="46" t="s">
        <v>594</v>
      </c>
      <c r="B16" s="106">
        <v>11889.76</v>
      </c>
      <c r="C16" s="106">
        <v>9920.42</v>
      </c>
    </row>
    <row r="17" spans="1:6">
      <c r="A17" s="46" t="s">
        <v>595</v>
      </c>
      <c r="B17" s="107">
        <v>0</v>
      </c>
      <c r="C17" s="107">
        <v>0</v>
      </c>
    </row>
    <row r="18" spans="1:6">
      <c r="A18" s="46" t="s">
        <v>596</v>
      </c>
      <c r="B18" s="107">
        <v>0</v>
      </c>
      <c r="C18" s="107">
        <v>0</v>
      </c>
    </row>
    <row r="19" spans="1:6">
      <c r="A19" s="46" t="s">
        <v>297</v>
      </c>
      <c r="B19" s="106">
        <v>131917.32</v>
      </c>
      <c r="C19" s="106">
        <v>139410.66</v>
      </c>
    </row>
    <row r="20" spans="1:6">
      <c r="A20" s="135" t="s">
        <v>597</v>
      </c>
      <c r="B20" s="131">
        <v>13098166.27</v>
      </c>
      <c r="C20" s="131">
        <v>16404468.029999999</v>
      </c>
      <c r="E20" s="18" t="e">
        <f>B20-#REF!</f>
        <v>#REF!</v>
      </c>
      <c r="F20" s="18" t="e">
        <f>C20-#REF!</f>
        <v>#REF!</v>
      </c>
    </row>
    <row r="21" spans="1:6" ht="54">
      <c r="A21" s="46" t="s">
        <v>588</v>
      </c>
      <c r="B21" s="107">
        <v>0</v>
      </c>
      <c r="C21" s="107">
        <v>0</v>
      </c>
    </row>
    <row r="22" spans="1:6" ht="22.5">
      <c r="A22" s="46" t="s">
        <v>589</v>
      </c>
      <c r="B22" s="106">
        <v>3518514.47</v>
      </c>
      <c r="C22" s="106">
        <v>3229909.6</v>
      </c>
    </row>
    <row r="23" spans="1:6">
      <c r="A23" s="46" t="s">
        <v>590</v>
      </c>
      <c r="B23" s="107">
        <v>0</v>
      </c>
      <c r="C23" s="106">
        <v>28184.23</v>
      </c>
    </row>
    <row r="24" spans="1:6" ht="22.5">
      <c r="A24" s="46" t="s">
        <v>591</v>
      </c>
      <c r="B24" s="107">
        <v>0</v>
      </c>
      <c r="C24" s="107">
        <v>0</v>
      </c>
    </row>
    <row r="25" spans="1:6" ht="22.5">
      <c r="A25" s="46" t="s">
        <v>592</v>
      </c>
      <c r="B25" s="106">
        <v>3192703.16</v>
      </c>
      <c r="C25" s="106">
        <v>4153589.3</v>
      </c>
    </row>
    <row r="26" spans="1:6">
      <c r="A26" s="46" t="s">
        <v>593</v>
      </c>
      <c r="B26" s="106">
        <v>58009.919999999998</v>
      </c>
      <c r="C26" s="106">
        <v>35959.32</v>
      </c>
    </row>
    <row r="27" spans="1:6">
      <c r="A27" s="46" t="s">
        <v>594</v>
      </c>
      <c r="B27" s="106">
        <v>5332844.92</v>
      </c>
      <c r="C27" s="106">
        <v>8094634.46</v>
      </c>
    </row>
    <row r="28" spans="1:6">
      <c r="A28" s="46" t="s">
        <v>598</v>
      </c>
      <c r="B28" s="106">
        <v>86438.03</v>
      </c>
      <c r="C28" s="106">
        <v>70701.960000000006</v>
      </c>
    </row>
    <row r="29" spans="1:6">
      <c r="A29" s="46" t="s">
        <v>596</v>
      </c>
      <c r="B29" s="107">
        <v>0</v>
      </c>
      <c r="C29" s="107">
        <v>0</v>
      </c>
    </row>
    <row r="30" spans="1:6" ht="54">
      <c r="A30" s="46" t="s">
        <v>599</v>
      </c>
      <c r="B30" s="106">
        <v>909655.77</v>
      </c>
      <c r="C30" s="106">
        <v>791489.16</v>
      </c>
    </row>
    <row r="31" spans="1:6">
      <c r="A31" s="137" t="s">
        <v>424</v>
      </c>
      <c r="B31" s="138">
        <v>13558688.439999999</v>
      </c>
      <c r="C31" s="138">
        <v>16731102.199999999</v>
      </c>
      <c r="E31" s="18" t="e">
        <f>B31-#REF!</f>
        <v>#REF!</v>
      </c>
      <c r="F31" s="18" t="e">
        <f>C31-#REF!</f>
        <v>#REF!</v>
      </c>
    </row>
    <row r="32" spans="1:6">
      <c r="A32" s="322"/>
      <c r="B32" s="322"/>
      <c r="C32" s="322"/>
    </row>
    <row r="33" spans="1:3">
      <c r="A33" s="323"/>
      <c r="B33" s="323"/>
      <c r="C33" s="323"/>
    </row>
    <row r="34" spans="1:3">
      <c r="B34" s="18">
        <f>B31-'Bilans 31.12.2018'!B47</f>
        <v>0</v>
      </c>
      <c r="C34" s="18">
        <f>C31-'Bilans 31.12.2018'!C47</f>
        <v>0</v>
      </c>
    </row>
  </sheetData>
  <mergeCells count="4">
    <mergeCell ref="A5:C5"/>
    <mergeCell ref="A7:C7"/>
    <mergeCell ref="A32:C32"/>
    <mergeCell ref="A33:C3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56"/>
  <sheetViews>
    <sheetView topLeftCell="A22" workbookViewId="0">
      <selection activeCell="B47" sqref="B47"/>
    </sheetView>
  </sheetViews>
  <sheetFormatPr defaultRowHeight="15"/>
  <cols>
    <col min="1" max="1" width="36.5703125" bestFit="1" customWidth="1"/>
    <col min="2" max="2" width="15.28515625" bestFit="1" customWidth="1"/>
    <col min="3" max="3" width="13.85546875" bestFit="1" customWidth="1"/>
  </cols>
  <sheetData>
    <row r="3" spans="1:7">
      <c r="A3" s="19"/>
    </row>
    <row r="4" spans="1:7">
      <c r="A4" s="19"/>
    </row>
    <row r="5" spans="1:7" ht="30" customHeight="1">
      <c r="A5" s="305" t="s">
        <v>600</v>
      </c>
      <c r="B5" s="320"/>
      <c r="C5" s="320"/>
    </row>
    <row r="7" spans="1:7">
      <c r="A7" s="321"/>
      <c r="B7" s="321"/>
      <c r="C7" s="321"/>
    </row>
    <row r="8" spans="1:7">
      <c r="A8" s="94" t="s">
        <v>601</v>
      </c>
      <c r="B8" s="94" t="s">
        <v>2</v>
      </c>
      <c r="C8" s="94" t="s">
        <v>3</v>
      </c>
    </row>
    <row r="9" spans="1:7">
      <c r="A9" s="123" t="s">
        <v>602</v>
      </c>
      <c r="B9" s="133">
        <v>140200796.37</v>
      </c>
      <c r="C9" s="133">
        <v>128509406.63</v>
      </c>
      <c r="D9" s="18">
        <f>B9-'Bilans 31.12.2018'!E32</f>
        <v>0</v>
      </c>
      <c r="E9" s="18">
        <f>C9-'Bilans 31.12.2018'!F32</f>
        <v>0</v>
      </c>
      <c r="F9" s="18" t="e">
        <f>B9-#REF!</f>
        <v>#REF!</v>
      </c>
      <c r="G9" s="18" t="e">
        <f>C9-#REF!</f>
        <v>#REF!</v>
      </c>
    </row>
    <row r="10" spans="1:7">
      <c r="A10" s="128" t="s">
        <v>603</v>
      </c>
      <c r="B10" s="106">
        <v>81250991.030000001</v>
      </c>
      <c r="C10" s="106">
        <v>90176559.799999997</v>
      </c>
    </row>
    <row r="11" spans="1:7">
      <c r="A11" s="128" t="s">
        <v>604</v>
      </c>
      <c r="B11" s="106">
        <v>4987614.3</v>
      </c>
      <c r="C11" s="106">
        <v>4796948.16</v>
      </c>
    </row>
    <row r="12" spans="1:7" ht="23.25">
      <c r="A12" s="128" t="s">
        <v>605</v>
      </c>
      <c r="B12" s="106">
        <v>17530279.5</v>
      </c>
      <c r="C12" s="106">
        <v>11106025.57</v>
      </c>
    </row>
    <row r="13" spans="1:7">
      <c r="A13" s="128" t="s">
        <v>606</v>
      </c>
      <c r="B13" s="106">
        <v>1233248.98</v>
      </c>
      <c r="C13" s="106">
        <v>1024817.2</v>
      </c>
    </row>
    <row r="14" spans="1:7">
      <c r="A14" s="128" t="s">
        <v>607</v>
      </c>
      <c r="B14" s="106">
        <v>1324068.05</v>
      </c>
      <c r="C14" s="106">
        <v>480954.19</v>
      </c>
    </row>
    <row r="15" spans="1:7">
      <c r="A15" s="128" t="s">
        <v>608</v>
      </c>
      <c r="B15" s="107">
        <v>0</v>
      </c>
      <c r="C15" s="106">
        <v>17612935.41</v>
      </c>
    </row>
    <row r="16" spans="1:7">
      <c r="A16" s="128" t="s">
        <v>609</v>
      </c>
      <c r="B16" s="106">
        <v>33874594.509999998</v>
      </c>
      <c r="C16" s="106">
        <v>3311166.3</v>
      </c>
    </row>
    <row r="17" spans="1:7">
      <c r="A17" s="123" t="s">
        <v>610</v>
      </c>
      <c r="B17" s="139">
        <v>0</v>
      </c>
      <c r="C17" s="139">
        <v>0</v>
      </c>
      <c r="D17" s="18">
        <f>B17-'Bilans 31.12.2018'!E33</f>
        <v>0</v>
      </c>
      <c r="E17" s="18">
        <f>C17-'Bilans 31.12.2018'!F33</f>
        <v>0</v>
      </c>
      <c r="F17" s="18" t="e">
        <f>B17-#REF!</f>
        <v>#REF!</v>
      </c>
      <c r="G17" s="18" t="e">
        <f>C17-#REF!</f>
        <v>#REF!</v>
      </c>
    </row>
    <row r="18" spans="1:7">
      <c r="A18" s="128" t="s">
        <v>611</v>
      </c>
      <c r="B18" s="107">
        <v>0</v>
      </c>
      <c r="C18" s="107">
        <v>0</v>
      </c>
    </row>
    <row r="19" spans="1:7">
      <c r="A19" s="128" t="s">
        <v>612</v>
      </c>
      <c r="B19" s="107">
        <v>0</v>
      </c>
      <c r="C19" s="107">
        <v>0</v>
      </c>
    </row>
    <row r="20" spans="1:7">
      <c r="A20" s="128" t="s">
        <v>613</v>
      </c>
      <c r="B20" s="107">
        <v>0</v>
      </c>
      <c r="C20" s="107">
        <v>0</v>
      </c>
    </row>
    <row r="21" spans="1:7">
      <c r="A21" s="128" t="s">
        <v>609</v>
      </c>
      <c r="B21" s="107">
        <v>0</v>
      </c>
      <c r="C21" s="107">
        <v>0</v>
      </c>
    </row>
    <row r="22" spans="1:7">
      <c r="A22" s="140" t="s">
        <v>535</v>
      </c>
      <c r="B22" s="125">
        <v>140200796.37</v>
      </c>
      <c r="C22" s="125">
        <v>128509406.63</v>
      </c>
      <c r="D22" s="18">
        <f>B22-'Bilans 31.12.2018'!E31</f>
        <v>0</v>
      </c>
      <c r="E22" s="18">
        <f>C22-'Bilans 31.12.2018'!F31</f>
        <v>0</v>
      </c>
      <c r="F22" s="18" t="e">
        <f>B22-#REF!</f>
        <v>#REF!</v>
      </c>
      <c r="G22" s="18" t="e">
        <f>C22-#REF!</f>
        <v>#REF!</v>
      </c>
    </row>
    <row r="23" spans="1:7">
      <c r="A23" s="332"/>
      <c r="B23" s="333"/>
      <c r="C23" s="334"/>
    </row>
    <row r="24" spans="1:7" ht="15" customHeight="1">
      <c r="A24" s="332" t="s">
        <v>614</v>
      </c>
      <c r="B24" s="333"/>
      <c r="C24" s="334"/>
    </row>
    <row r="25" spans="1:7">
      <c r="A25" s="140" t="s">
        <v>535</v>
      </c>
      <c r="B25" s="125">
        <v>33859451.950000003</v>
      </c>
      <c r="C25" s="125">
        <v>20912198.010000002</v>
      </c>
    </row>
    <row r="26" spans="1:7">
      <c r="A26" s="332"/>
      <c r="B26" s="333"/>
      <c r="C26" s="334"/>
    </row>
    <row r="27" spans="1:7">
      <c r="A27" s="128" t="s">
        <v>615</v>
      </c>
      <c r="B27" s="107">
        <v>0</v>
      </c>
      <c r="C27" s="106">
        <v>10902.94</v>
      </c>
    </row>
    <row r="28" spans="1:7">
      <c r="A28" s="128" t="s">
        <v>616</v>
      </c>
      <c r="B28" s="107">
        <v>0</v>
      </c>
      <c r="C28" s="106">
        <v>31595.71</v>
      </c>
    </row>
    <row r="29" spans="1:7">
      <c r="A29" s="128" t="s">
        <v>617</v>
      </c>
      <c r="B29" s="107">
        <v>0</v>
      </c>
      <c r="C29" s="106">
        <v>33119.9</v>
      </c>
    </row>
    <row r="30" spans="1:7">
      <c r="A30" s="128" t="s">
        <v>618</v>
      </c>
      <c r="B30" s="107">
        <v>993.5</v>
      </c>
      <c r="C30" s="106">
        <v>4997</v>
      </c>
    </row>
    <row r="31" spans="1:7">
      <c r="A31" s="128" t="s">
        <v>619</v>
      </c>
      <c r="B31" s="106">
        <v>22869.62</v>
      </c>
      <c r="C31" s="106">
        <v>53696.800000000003</v>
      </c>
    </row>
    <row r="32" spans="1:7">
      <c r="A32" s="128" t="s">
        <v>620</v>
      </c>
      <c r="B32" s="106">
        <v>266948.87</v>
      </c>
      <c r="C32" s="106">
        <v>323884.42</v>
      </c>
    </row>
    <row r="33" spans="1:3" ht="23.25">
      <c r="A33" s="128" t="s">
        <v>621</v>
      </c>
      <c r="B33" s="106">
        <v>2634</v>
      </c>
      <c r="C33" s="106">
        <v>2275.83</v>
      </c>
    </row>
    <row r="34" spans="1:3" ht="23.25">
      <c r="A34" s="128" t="s">
        <v>622</v>
      </c>
      <c r="B34" s="107">
        <v>0</v>
      </c>
      <c r="C34" s="106">
        <v>81268</v>
      </c>
    </row>
    <row r="35" spans="1:3">
      <c r="A35" s="128" t="s">
        <v>623</v>
      </c>
      <c r="B35" s="106">
        <v>9627.9</v>
      </c>
      <c r="C35" s="107">
        <v>0</v>
      </c>
    </row>
    <row r="36" spans="1:3" ht="23.25">
      <c r="A36" s="128" t="s">
        <v>624</v>
      </c>
      <c r="B36" s="107">
        <v>0</v>
      </c>
      <c r="C36" s="106">
        <v>9875.58</v>
      </c>
    </row>
    <row r="37" spans="1:3" ht="23.25">
      <c r="A37" s="128" t="s">
        <v>625</v>
      </c>
      <c r="B37" s="106">
        <v>34949.160000000003</v>
      </c>
      <c r="C37" s="106">
        <v>29255.73</v>
      </c>
    </row>
    <row r="38" spans="1:3" ht="23.25">
      <c r="A38" s="128" t="s">
        <v>626</v>
      </c>
      <c r="B38" s="106">
        <v>2055</v>
      </c>
      <c r="C38" s="106">
        <v>1018</v>
      </c>
    </row>
    <row r="39" spans="1:3">
      <c r="A39" s="128" t="s">
        <v>627</v>
      </c>
      <c r="B39" s="107">
        <v>0</v>
      </c>
      <c r="C39" s="106">
        <v>46799.9</v>
      </c>
    </row>
    <row r="40" spans="1:3">
      <c r="A40" s="128" t="s">
        <v>628</v>
      </c>
      <c r="B40" s="106">
        <v>9266.25</v>
      </c>
      <c r="C40" s="106">
        <v>9266.25</v>
      </c>
    </row>
    <row r="41" spans="1:3">
      <c r="A41" s="128" t="s">
        <v>629</v>
      </c>
      <c r="B41" s="106">
        <v>99370</v>
      </c>
      <c r="C41" s="106">
        <v>99370</v>
      </c>
    </row>
    <row r="42" spans="1:3">
      <c r="A42" s="128" t="s">
        <v>630</v>
      </c>
      <c r="B42" s="106">
        <v>21512.54</v>
      </c>
      <c r="C42" s="106">
        <v>17757.37</v>
      </c>
    </row>
    <row r="43" spans="1:3">
      <c r="A43" s="128" t="s">
        <v>631</v>
      </c>
      <c r="B43" s="106">
        <v>22722.959999999999</v>
      </c>
      <c r="C43" s="106">
        <v>18685.599999999999</v>
      </c>
    </row>
    <row r="44" spans="1:3">
      <c r="A44" s="128" t="s">
        <v>632</v>
      </c>
      <c r="B44" s="106">
        <v>30653522.739999998</v>
      </c>
      <c r="C44" s="106">
        <v>17612935.41</v>
      </c>
    </row>
    <row r="45" spans="1:3">
      <c r="A45" s="128" t="s">
        <v>633</v>
      </c>
      <c r="B45" s="106">
        <v>131229.6</v>
      </c>
      <c r="C45" s="106">
        <v>114825.9</v>
      </c>
    </row>
    <row r="46" spans="1:3">
      <c r="A46" s="128" t="s">
        <v>634</v>
      </c>
      <c r="B46" s="107">
        <v>0</v>
      </c>
      <c r="C46" s="106">
        <v>6750</v>
      </c>
    </row>
    <row r="47" spans="1:3">
      <c r="A47" s="128" t="s">
        <v>635</v>
      </c>
      <c r="B47" s="106">
        <v>929855.87</v>
      </c>
      <c r="C47" s="106">
        <v>508355.56</v>
      </c>
    </row>
    <row r="48" spans="1:3">
      <c r="A48" s="128" t="s">
        <v>636</v>
      </c>
      <c r="B48" s="106">
        <v>72365.679999999993</v>
      </c>
      <c r="C48" s="107">
        <v>0</v>
      </c>
    </row>
    <row r="49" spans="1:3">
      <c r="A49" s="128" t="s">
        <v>637</v>
      </c>
      <c r="B49" s="107">
        <v>0</v>
      </c>
      <c r="C49" s="106">
        <v>264845.59999999998</v>
      </c>
    </row>
    <row r="50" spans="1:3">
      <c r="A50" s="128" t="s">
        <v>638</v>
      </c>
      <c r="B50" s="106">
        <v>2072478.06</v>
      </c>
      <c r="C50" s="106">
        <v>2404485.54</v>
      </c>
    </row>
    <row r="51" spans="1:3">
      <c r="A51" s="332"/>
      <c r="B51" s="333"/>
      <c r="C51" s="334"/>
    </row>
    <row r="52" spans="1:3" ht="15" customHeight="1">
      <c r="A52" s="332" t="s">
        <v>639</v>
      </c>
      <c r="B52" s="333"/>
      <c r="C52" s="334"/>
    </row>
    <row r="53" spans="1:3">
      <c r="A53" s="140" t="s">
        <v>535</v>
      </c>
      <c r="B53" s="124">
        <v>0</v>
      </c>
      <c r="C53" s="124">
        <v>0</v>
      </c>
    </row>
    <row r="54" spans="1:3">
      <c r="A54" s="332"/>
      <c r="B54" s="333"/>
      <c r="C54" s="334"/>
    </row>
    <row r="55" spans="1:3">
      <c r="A55" s="322"/>
      <c r="B55" s="322"/>
      <c r="C55" s="322"/>
    </row>
    <row r="56" spans="1:3">
      <c r="A56" s="323"/>
      <c r="B56" s="323"/>
      <c r="C56" s="323"/>
    </row>
  </sheetData>
  <mergeCells count="10">
    <mergeCell ref="A52:C52"/>
    <mergeCell ref="A54:C54"/>
    <mergeCell ref="A55:C55"/>
    <mergeCell ref="A56:C56"/>
    <mergeCell ref="A5:C5"/>
    <mergeCell ref="A7:C7"/>
    <mergeCell ref="A23:C23"/>
    <mergeCell ref="A24:C24"/>
    <mergeCell ref="A26:C26"/>
    <mergeCell ref="A51:C51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4"/>
  <sheetViews>
    <sheetView workbookViewId="0">
      <selection activeCell="B47" sqref="B47"/>
    </sheetView>
  </sheetViews>
  <sheetFormatPr defaultRowHeight="15"/>
  <cols>
    <col min="1" max="1" width="2" style="92" customWidth="1"/>
    <col min="2" max="2" width="32" style="92" bestFit="1" customWidth="1"/>
    <col min="3" max="3" width="15.28515625" style="92" bestFit="1" customWidth="1"/>
    <col min="4" max="4" width="20.85546875" style="92" bestFit="1" customWidth="1"/>
    <col min="5" max="16384" width="9.140625" style="92"/>
  </cols>
  <sheetData>
    <row r="3" spans="1:4">
      <c r="A3" s="19"/>
    </row>
    <row r="4" spans="1:4">
      <c r="A4" s="19"/>
    </row>
    <row r="5" spans="1:4" ht="30" customHeight="1">
      <c r="A5" s="305" t="s">
        <v>640</v>
      </c>
      <c r="B5" s="306"/>
      <c r="C5" s="306"/>
      <c r="D5" s="306"/>
    </row>
    <row r="7" spans="1:4">
      <c r="A7" s="307"/>
      <c r="B7" s="307"/>
      <c r="C7" s="307"/>
      <c r="D7" s="307"/>
    </row>
    <row r="8" spans="1:4">
      <c r="A8" s="308" t="s">
        <v>641</v>
      </c>
      <c r="B8" s="309"/>
      <c r="C8" s="94" t="s">
        <v>2</v>
      </c>
      <c r="D8" s="94" t="s">
        <v>205</v>
      </c>
    </row>
    <row r="9" spans="1:4">
      <c r="A9" s="99">
        <v>1</v>
      </c>
      <c r="B9" s="141" t="s">
        <v>642</v>
      </c>
      <c r="C9" s="106">
        <v>145628748.16</v>
      </c>
      <c r="D9" s="106">
        <v>177722680.08000001</v>
      </c>
    </row>
    <row r="10" spans="1:4">
      <c r="A10" s="326" t="s">
        <v>485</v>
      </c>
      <c r="B10" s="327"/>
      <c r="C10" s="125">
        <v>145628748.16</v>
      </c>
      <c r="D10" s="125">
        <v>177722680.08000001</v>
      </c>
    </row>
    <row r="11" spans="1:4">
      <c r="A11" s="313"/>
      <c r="B11" s="313"/>
      <c r="C11" s="313"/>
      <c r="D11" s="313"/>
    </row>
    <row r="12" spans="1:4">
      <c r="A12" s="304"/>
      <c r="B12" s="304"/>
      <c r="C12" s="304"/>
      <c r="D12" s="304"/>
    </row>
    <row r="14" spans="1:4">
      <c r="C14" s="170" t="e">
        <f>C10-#REF!</f>
        <v>#REF!</v>
      </c>
      <c r="D14" s="170" t="e">
        <f>D10-#REF!</f>
        <v>#REF!</v>
      </c>
    </row>
  </sheetData>
  <mergeCells count="6">
    <mergeCell ref="A12:D12"/>
    <mergeCell ref="A5:D5"/>
    <mergeCell ref="A7:D7"/>
    <mergeCell ref="A8:B8"/>
    <mergeCell ref="A10:B10"/>
    <mergeCell ref="A11:D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abSelected="1" topLeftCell="A28" zoomScaleNormal="100" workbookViewId="0">
      <selection activeCell="C49" sqref="C49"/>
    </sheetView>
  </sheetViews>
  <sheetFormatPr defaultRowHeight="15"/>
  <cols>
    <col min="1" max="1" width="31.28515625" style="172" customWidth="1"/>
    <col min="2" max="2" width="29.85546875" style="172" customWidth="1"/>
    <col min="3" max="3" width="24" style="172" customWidth="1"/>
    <col min="4" max="4" width="23.28515625" style="172" customWidth="1"/>
    <col min="5" max="7" width="17" style="171" bestFit="1" customWidth="1"/>
    <col min="8" max="8" width="9.140625" style="179"/>
    <col min="9" max="16384" width="9.140625" style="172"/>
  </cols>
  <sheetData>
    <row r="1" spans="1:7">
      <c r="A1" s="211" t="s">
        <v>890</v>
      </c>
      <c r="B1" s="258" t="s">
        <v>237</v>
      </c>
      <c r="C1" s="259"/>
      <c r="D1" s="211" t="s">
        <v>894</v>
      </c>
    </row>
    <row r="2" spans="1:7">
      <c r="A2" s="257"/>
      <c r="B2" s="260"/>
      <c r="C2" s="261"/>
      <c r="D2" s="212"/>
    </row>
    <row r="3" spans="1:7" ht="52.5" customHeight="1">
      <c r="A3" s="257"/>
      <c r="B3" s="260" t="s">
        <v>203</v>
      </c>
      <c r="C3" s="261"/>
      <c r="D3" s="212"/>
    </row>
    <row r="4" spans="1:7">
      <c r="A4" s="184" t="s">
        <v>0</v>
      </c>
      <c r="B4" s="262"/>
      <c r="C4" s="263"/>
      <c r="D4" s="266"/>
    </row>
    <row r="5" spans="1:7" ht="15.75" thickBot="1">
      <c r="A5" s="185" t="s">
        <v>889</v>
      </c>
      <c r="B5" s="264"/>
      <c r="C5" s="265"/>
      <c r="D5" s="267"/>
    </row>
    <row r="6" spans="1:7" ht="30" thickBot="1">
      <c r="A6" s="245"/>
      <c r="B6" s="246"/>
      <c r="C6" s="196" t="s">
        <v>204</v>
      </c>
      <c r="D6" s="206" t="s">
        <v>205</v>
      </c>
    </row>
    <row r="7" spans="1:7">
      <c r="A7" s="247" t="s">
        <v>206</v>
      </c>
      <c r="B7" s="248"/>
      <c r="C7" s="203">
        <v>88120862643.740005</v>
      </c>
      <c r="D7" s="203">
        <v>78842656190.729996</v>
      </c>
      <c r="E7" s="173">
        <f>D7-C29</f>
        <v>0</v>
      </c>
      <c r="F7" s="173"/>
      <c r="G7" s="180"/>
    </row>
    <row r="8" spans="1:7">
      <c r="A8" s="251" t="s">
        <v>207</v>
      </c>
      <c r="B8" s="252"/>
      <c r="C8" s="188">
        <f>SUM(C9:C18)</f>
        <v>18966938280.98</v>
      </c>
      <c r="D8" s="188">
        <f>SUM(D9:D18)</f>
        <v>24846035586.75</v>
      </c>
      <c r="E8" s="173"/>
      <c r="F8" s="173"/>
      <c r="G8" s="180"/>
    </row>
    <row r="9" spans="1:7">
      <c r="A9" s="237" t="s">
        <v>208</v>
      </c>
      <c r="B9" s="238"/>
      <c r="C9" s="189">
        <v>8892911301.6499996</v>
      </c>
      <c r="D9" s="189">
        <v>10530397669.879999</v>
      </c>
      <c r="E9" s="173">
        <f>D9-C31</f>
        <v>793197260.77000046</v>
      </c>
      <c r="F9" s="173"/>
      <c r="G9" s="180"/>
    </row>
    <row r="10" spans="1:7">
      <c r="A10" s="237" t="s">
        <v>209</v>
      </c>
      <c r="B10" s="238"/>
      <c r="C10" s="189">
        <v>6088869471.6000004</v>
      </c>
      <c r="D10" s="189">
        <v>6575057530.9399996</v>
      </c>
      <c r="E10" s="173"/>
      <c r="F10" s="173"/>
      <c r="G10" s="180"/>
    </row>
    <row r="11" spans="1:7">
      <c r="A11" s="237" t="s">
        <v>210</v>
      </c>
      <c r="B11" s="238"/>
      <c r="C11" s="204">
        <v>0</v>
      </c>
      <c r="D11" s="189">
        <v>0</v>
      </c>
      <c r="E11" s="173"/>
      <c r="F11" s="173"/>
      <c r="G11" s="180"/>
    </row>
    <row r="12" spans="1:7">
      <c r="A12" s="237" t="s">
        <v>211</v>
      </c>
      <c r="B12" s="238"/>
      <c r="C12" s="189">
        <v>558500207.94000006</v>
      </c>
      <c r="D12" s="189">
        <v>618771039.65999997</v>
      </c>
      <c r="E12" s="173"/>
      <c r="F12" s="173"/>
      <c r="G12" s="180"/>
    </row>
    <row r="13" spans="1:7">
      <c r="A13" s="237" t="s">
        <v>212</v>
      </c>
      <c r="B13" s="238"/>
      <c r="C13" s="189">
        <v>0</v>
      </c>
      <c r="D13" s="189">
        <v>0</v>
      </c>
      <c r="E13" s="173"/>
      <c r="F13" s="173"/>
      <c r="G13" s="180"/>
    </row>
    <row r="14" spans="1:7" ht="27" customHeight="1">
      <c r="A14" s="237" t="s">
        <v>213</v>
      </c>
      <c r="B14" s="238"/>
      <c r="C14" s="189">
        <f>117515288.7-1463700.69</f>
        <v>116051588.01000001</v>
      </c>
      <c r="D14" s="189">
        <f>38733828.29-11423291.64</f>
        <v>27310536.649999999</v>
      </c>
      <c r="E14" s="173"/>
      <c r="F14" s="173"/>
      <c r="G14" s="180"/>
    </row>
    <row r="15" spans="1:7" ht="28.5" customHeight="1">
      <c r="A15" s="237" t="s">
        <v>214</v>
      </c>
      <c r="B15" s="238"/>
      <c r="C15" s="189">
        <v>0</v>
      </c>
      <c r="D15" s="189">
        <v>0</v>
      </c>
      <c r="E15" s="173"/>
      <c r="F15" s="173"/>
      <c r="G15" s="180"/>
    </row>
    <row r="16" spans="1:7">
      <c r="A16" s="237" t="s">
        <v>215</v>
      </c>
      <c r="B16" s="238"/>
      <c r="C16" s="189">
        <v>0</v>
      </c>
      <c r="D16" s="189">
        <v>5902.96</v>
      </c>
      <c r="E16" s="173"/>
      <c r="F16" s="173"/>
      <c r="G16" s="180"/>
    </row>
    <row r="17" spans="1:7">
      <c r="A17" s="237" t="s">
        <v>216</v>
      </c>
      <c r="B17" s="238"/>
      <c r="C17" s="204">
        <v>0</v>
      </c>
      <c r="D17" s="204">
        <v>0</v>
      </c>
      <c r="E17" s="173"/>
      <c r="F17" s="173"/>
      <c r="G17" s="180"/>
    </row>
    <row r="18" spans="1:7">
      <c r="A18" s="237" t="s">
        <v>217</v>
      </c>
      <c r="B18" s="238"/>
      <c r="C18" s="189">
        <f>3315216072.78-4610361</f>
        <v>3310605711.7800002</v>
      </c>
      <c r="D18" s="189">
        <f>7095911181.82-1418275.16</f>
        <v>7094492906.6599998</v>
      </c>
      <c r="E18" s="173"/>
      <c r="F18" s="173"/>
      <c r="G18" s="180"/>
    </row>
    <row r="19" spans="1:7">
      <c r="A19" s="251" t="s">
        <v>218</v>
      </c>
      <c r="B19" s="252"/>
      <c r="C19" s="188">
        <f>SUM(C20:C28)</f>
        <v>28245144733.990002</v>
      </c>
      <c r="D19" s="188">
        <f>SUM(D20:D28)</f>
        <v>105084541881.14</v>
      </c>
      <c r="E19" s="173"/>
      <c r="F19" s="173"/>
      <c r="G19" s="180"/>
    </row>
    <row r="20" spans="1:7">
      <c r="A20" s="237" t="s">
        <v>219</v>
      </c>
      <c r="B20" s="238"/>
      <c r="C20" s="189">
        <v>599087101.86000001</v>
      </c>
      <c r="D20" s="189">
        <v>793197260.76999998</v>
      </c>
      <c r="E20" s="173">
        <f>C32+D20</f>
        <v>793197260.76999998</v>
      </c>
      <c r="F20" s="173"/>
      <c r="G20" s="180"/>
    </row>
    <row r="21" spans="1:7">
      <c r="A21" s="237" t="s">
        <v>220</v>
      </c>
      <c r="B21" s="238"/>
      <c r="C21" s="189">
        <v>13184985865.370001</v>
      </c>
      <c r="D21" s="189">
        <v>14744311474.940001</v>
      </c>
      <c r="E21" s="173"/>
      <c r="F21" s="173"/>
      <c r="G21" s="180"/>
    </row>
    <row r="22" spans="1:7">
      <c r="A22" s="237" t="s">
        <v>221</v>
      </c>
      <c r="B22" s="238"/>
      <c r="C22" s="189">
        <v>0</v>
      </c>
      <c r="D22" s="189">
        <v>0</v>
      </c>
      <c r="E22" s="173">
        <f>D22-C33</f>
        <v>0</v>
      </c>
      <c r="F22" s="173"/>
      <c r="G22" s="180"/>
    </row>
    <row r="23" spans="1:7">
      <c r="A23" s="237" t="s">
        <v>222</v>
      </c>
      <c r="B23" s="238"/>
      <c r="C23" s="189">
        <v>2713781378.8299999</v>
      </c>
      <c r="D23" s="189">
        <v>3085378168.79</v>
      </c>
      <c r="E23" s="173"/>
      <c r="F23" s="173"/>
      <c r="G23" s="180"/>
    </row>
    <row r="24" spans="1:7">
      <c r="A24" s="237" t="s">
        <v>223</v>
      </c>
      <c r="B24" s="238"/>
      <c r="C24" s="189">
        <v>0</v>
      </c>
      <c r="D24" s="189">
        <v>865314536.62</v>
      </c>
      <c r="E24" s="173"/>
      <c r="F24" s="173"/>
      <c r="G24" s="180"/>
    </row>
    <row r="25" spans="1:7" ht="49.5" customHeight="1">
      <c r="A25" s="237" t="s">
        <v>224</v>
      </c>
      <c r="B25" s="238"/>
      <c r="C25" s="189">
        <f>118013973.44-1463700.69</f>
        <v>116550272.75</v>
      </c>
      <c r="D25" s="189">
        <f>311935703.26-11423291.64</f>
        <v>300512411.62</v>
      </c>
      <c r="E25" s="173"/>
      <c r="F25" s="173"/>
      <c r="G25" s="180"/>
    </row>
    <row r="26" spans="1:7" ht="24.75" customHeight="1">
      <c r="A26" s="237" t="s">
        <v>225</v>
      </c>
      <c r="B26" s="238"/>
      <c r="C26" s="189">
        <v>0</v>
      </c>
      <c r="D26" s="189">
        <v>0</v>
      </c>
      <c r="E26" s="173"/>
      <c r="F26" s="173"/>
      <c r="G26" s="180"/>
    </row>
    <row r="27" spans="1:7">
      <c r="A27" s="237" t="s">
        <v>226</v>
      </c>
      <c r="B27" s="238"/>
      <c r="C27" s="189">
        <v>88592</v>
      </c>
      <c r="D27" s="189">
        <v>2393680.04</v>
      </c>
      <c r="E27" s="173"/>
      <c r="F27" s="173"/>
      <c r="G27" s="180"/>
    </row>
    <row r="28" spans="1:7">
      <c r="A28" s="237" t="s">
        <v>227</v>
      </c>
      <c r="B28" s="238"/>
      <c r="C28" s="189">
        <f>11635261884.18-4610361</f>
        <v>11630651523.18</v>
      </c>
      <c r="D28" s="189">
        <f>85294852623.52-1418275.16</f>
        <v>85293434348.360001</v>
      </c>
      <c r="E28" s="173"/>
      <c r="F28" s="173"/>
      <c r="G28" s="180"/>
    </row>
    <row r="29" spans="1:7">
      <c r="A29" s="251" t="s">
        <v>228</v>
      </c>
      <c r="B29" s="252"/>
      <c r="C29" s="188">
        <f>C7+C8-C19</f>
        <v>78842656190.729996</v>
      </c>
      <c r="D29" s="188">
        <f>D7+D8-D19</f>
        <v>-1395850103.6600037</v>
      </c>
      <c r="E29" s="173">
        <f>C29-'Bilans 31.12.2018'!E9</f>
        <v>0</v>
      </c>
      <c r="F29" s="173">
        <f>D29-'Bilans 31.12.2018'!F9</f>
        <v>-3.5762786865234375E-6</v>
      </c>
      <c r="G29" s="180"/>
    </row>
    <row r="30" spans="1:7">
      <c r="A30" s="251" t="s">
        <v>229</v>
      </c>
      <c r="B30" s="252"/>
      <c r="C30" s="188">
        <f>C31+C32-C33</f>
        <v>9737200409.1099987</v>
      </c>
      <c r="D30" s="188">
        <f>D31+D32-D33</f>
        <v>11677198401.43</v>
      </c>
      <c r="E30" s="173"/>
      <c r="F30" s="173"/>
      <c r="G30" s="180"/>
    </row>
    <row r="31" spans="1:7">
      <c r="A31" s="237" t="s">
        <v>230</v>
      </c>
      <c r="B31" s="238"/>
      <c r="C31" s="189">
        <f>10530397669.88-793197260.77</f>
        <v>9737200409.1099987</v>
      </c>
      <c r="D31" s="189">
        <f>12699152379.27-1021953977.84</f>
        <v>11677198401.43</v>
      </c>
      <c r="E31" s="173">
        <f>C31-'Bilans 31.12.2018'!E11</f>
        <v>0</v>
      </c>
      <c r="F31" s="173">
        <f>D31-'Bilans 31.12.2018'!F11</f>
        <v>0</v>
      </c>
      <c r="G31" s="180"/>
    </row>
    <row r="32" spans="1:7">
      <c r="A32" s="237" t="s">
        <v>231</v>
      </c>
      <c r="B32" s="238"/>
      <c r="C32" s="189">
        <v>0</v>
      </c>
      <c r="D32" s="189">
        <v>0</v>
      </c>
      <c r="E32" s="173">
        <f>C32-'Bilans 31.12.2018'!E12</f>
        <v>0</v>
      </c>
      <c r="F32" s="173">
        <f>D32-'Bilans 31.12.2018'!F12</f>
        <v>0</v>
      </c>
      <c r="G32" s="180"/>
    </row>
    <row r="33" spans="1:7" ht="15.75" thickBot="1">
      <c r="A33" s="268" t="s">
        <v>232</v>
      </c>
      <c r="B33" s="269"/>
      <c r="C33" s="205">
        <v>0</v>
      </c>
      <c r="D33" s="205">
        <v>0</v>
      </c>
      <c r="E33" s="173">
        <f>C33-'Bilans 31.12.2018'!E13</f>
        <v>0</v>
      </c>
      <c r="F33" s="173">
        <f>D33-'Bilans 31.12.2018'!F13</f>
        <v>0</v>
      </c>
      <c r="G33" s="180"/>
    </row>
    <row r="34" spans="1:7" ht="15.75" thickBot="1">
      <c r="A34" s="253" t="s">
        <v>233</v>
      </c>
      <c r="B34" s="254"/>
      <c r="C34" s="202">
        <f>C29+C30</f>
        <v>88579856599.839996</v>
      </c>
      <c r="D34" s="202">
        <f>D29+D30</f>
        <v>10281348297.769997</v>
      </c>
      <c r="E34" s="173">
        <f>C34-'Bilans 31.12.2018'!E8</f>
        <v>0</v>
      </c>
      <c r="F34" s="173">
        <f>D34-'Bilans 31.12.2018'!F8</f>
        <v>0</v>
      </c>
      <c r="G34" s="180"/>
    </row>
    <row r="35" spans="1:7">
      <c r="A35" s="271"/>
      <c r="B35" s="271"/>
      <c r="C35" s="270"/>
      <c r="D35" s="270"/>
    </row>
    <row r="36" spans="1:7">
      <c r="A36" s="271"/>
      <c r="B36" s="271"/>
      <c r="C36" s="271"/>
      <c r="D36" s="271"/>
    </row>
    <row r="37" spans="1:7">
      <c r="A37" s="232"/>
      <c r="B37" s="232"/>
      <c r="C37" s="232"/>
      <c r="D37" s="232"/>
    </row>
    <row r="38" spans="1:7">
      <c r="A38" s="178"/>
      <c r="B38" s="178"/>
      <c r="C38" s="178"/>
      <c r="D38" s="178"/>
    </row>
    <row r="39" spans="1:7">
      <c r="A39" s="178"/>
      <c r="B39" s="208">
        <v>43592</v>
      </c>
      <c r="C39" s="208"/>
      <c r="D39" s="178"/>
    </row>
    <row r="40" spans="1:7">
      <c r="A40" s="178"/>
      <c r="B40" s="209" t="s">
        <v>234</v>
      </c>
      <c r="C40" s="209"/>
      <c r="D40" s="178"/>
    </row>
    <row r="41" spans="1:7" ht="30">
      <c r="A41" s="178" t="s">
        <v>235</v>
      </c>
      <c r="B41" s="178"/>
      <c r="C41" s="178"/>
      <c r="D41" s="178" t="s">
        <v>891</v>
      </c>
    </row>
    <row r="42" spans="1:7">
      <c r="A42" s="178" t="s">
        <v>76</v>
      </c>
      <c r="B42" s="178"/>
      <c r="C42" s="178"/>
      <c r="D42" s="178" t="s">
        <v>77</v>
      </c>
    </row>
    <row r="45" spans="1:7">
      <c r="A45" s="3"/>
    </row>
    <row r="48" spans="1:7">
      <c r="A48" s="3"/>
    </row>
  </sheetData>
  <mergeCells count="41">
    <mergeCell ref="C35:D35"/>
    <mergeCell ref="A36:D36"/>
    <mergeCell ref="A37:D37"/>
    <mergeCell ref="B39:C39"/>
    <mergeCell ref="B40:C40"/>
    <mergeCell ref="A35:B35"/>
    <mergeCell ref="A30:B30"/>
    <mergeCell ref="A31:B31"/>
    <mergeCell ref="A32:B32"/>
    <mergeCell ref="A33:B33"/>
    <mergeCell ref="A34:B34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17:B17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:A3"/>
    <mergeCell ref="B1:C2"/>
    <mergeCell ref="D1:D3"/>
    <mergeCell ref="B3:C3"/>
    <mergeCell ref="B4:C5"/>
    <mergeCell ref="D4:D5"/>
  </mergeCells>
  <pageMargins left="0.31496062992125984" right="0.31496062992125984" top="0.74803149606299213" bottom="0.74803149606299213" header="0.31496062992125984" footer="0.31496062992125984"/>
  <pageSetup paperSize="9" scale="85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3"/>
  <sheetViews>
    <sheetView workbookViewId="0">
      <selection activeCell="B47" sqref="B47"/>
    </sheetView>
  </sheetViews>
  <sheetFormatPr defaultRowHeight="15"/>
  <cols>
    <col min="1" max="1" width="3" style="92" customWidth="1"/>
    <col min="2" max="2" width="17.85546875" style="92" bestFit="1" customWidth="1"/>
    <col min="3" max="3" width="24" style="92" bestFit="1" customWidth="1"/>
    <col min="4" max="4" width="22.140625" style="92" bestFit="1" customWidth="1"/>
    <col min="5" max="16384" width="9.140625" style="92"/>
  </cols>
  <sheetData>
    <row r="3" spans="1:4">
      <c r="A3" s="19"/>
    </row>
    <row r="4" spans="1:4">
      <c r="A4" s="19"/>
    </row>
    <row r="5" spans="1:4" ht="30" customHeight="1">
      <c r="A5" s="305" t="s">
        <v>643</v>
      </c>
      <c r="B5" s="306"/>
      <c r="C5" s="306"/>
      <c r="D5" s="306"/>
    </row>
    <row r="7" spans="1:4">
      <c r="A7" s="307"/>
      <c r="B7" s="307"/>
      <c r="C7" s="307"/>
      <c r="D7" s="307"/>
    </row>
    <row r="8" spans="1:4">
      <c r="A8" s="94" t="s">
        <v>80</v>
      </c>
      <c r="B8" s="94" t="s">
        <v>420</v>
      </c>
      <c r="C8" s="94" t="s">
        <v>644</v>
      </c>
      <c r="D8" s="94" t="s">
        <v>645</v>
      </c>
    </row>
    <row r="9" spans="1:4">
      <c r="A9" s="95">
        <v>1</v>
      </c>
      <c r="B9" s="95" t="s">
        <v>646</v>
      </c>
      <c r="C9" s="97">
        <v>20150847.969999999</v>
      </c>
      <c r="D9" s="97">
        <v>22128597.210000001</v>
      </c>
    </row>
    <row r="10" spans="1:4">
      <c r="A10" s="313"/>
      <c r="B10" s="313"/>
      <c r="C10" s="313"/>
      <c r="D10" s="313"/>
    </row>
    <row r="11" spans="1:4">
      <c r="A11" s="304"/>
      <c r="B11" s="304"/>
      <c r="C11" s="304"/>
      <c r="D11" s="304"/>
    </row>
    <row r="13" spans="1:4">
      <c r="C13" s="170" t="e">
        <f>C9-#REF!</f>
        <v>#REF!</v>
      </c>
      <c r="D13" s="170" t="e">
        <f>D9-#REF!</f>
        <v>#REF!</v>
      </c>
    </row>
  </sheetData>
  <mergeCells count="4">
    <mergeCell ref="A5:D5"/>
    <mergeCell ref="A7:D7"/>
    <mergeCell ref="A10:D10"/>
    <mergeCell ref="A11:D11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9"/>
  <sheetViews>
    <sheetView workbookViewId="0">
      <selection activeCell="B47" sqref="B47"/>
    </sheetView>
  </sheetViews>
  <sheetFormatPr defaultRowHeight="15"/>
  <cols>
    <col min="1" max="1" width="27.7109375" bestFit="1" customWidth="1"/>
    <col min="2" max="2" width="15" bestFit="1" customWidth="1"/>
    <col min="3" max="3" width="18.28515625" bestFit="1" customWidth="1"/>
    <col min="4" max="4" width="27.85546875" bestFit="1" customWidth="1"/>
    <col min="5" max="5" width="16" bestFit="1" customWidth="1"/>
    <col min="6" max="7" width="36.5703125" bestFit="1" customWidth="1"/>
    <col min="8" max="8" width="10.28515625" bestFit="1" customWidth="1"/>
    <col min="9" max="9" width="18.28515625" bestFit="1" customWidth="1"/>
    <col min="10" max="10" width="28.42578125" bestFit="1" customWidth="1"/>
    <col min="11" max="11" width="16" bestFit="1" customWidth="1"/>
  </cols>
  <sheetData>
    <row r="3" spans="1:11">
      <c r="A3" s="19"/>
    </row>
    <row r="4" spans="1:11">
      <c r="A4" s="19"/>
    </row>
    <row r="5" spans="1:11" ht="15" customHeight="1">
      <c r="A5" s="305" t="s">
        <v>647</v>
      </c>
      <c r="B5" s="320"/>
      <c r="C5" s="320"/>
      <c r="D5" s="320"/>
      <c r="E5" s="320"/>
      <c r="F5" s="320"/>
      <c r="G5" s="320"/>
      <c r="H5" s="320"/>
      <c r="I5" s="320"/>
      <c r="J5" s="320"/>
      <c r="K5" s="320"/>
    </row>
    <row r="7" spans="1:11">
      <c r="A7" s="338"/>
      <c r="B7" s="338"/>
      <c r="C7" s="338"/>
      <c r="D7" s="338"/>
      <c r="E7" s="338"/>
      <c r="F7" s="338"/>
      <c r="G7" s="338"/>
      <c r="H7" s="338"/>
      <c r="I7" s="338"/>
      <c r="J7" s="338"/>
      <c r="K7" s="338"/>
    </row>
    <row r="8" spans="1:11">
      <c r="A8" s="339" t="s">
        <v>648</v>
      </c>
      <c r="B8" s="339" t="s">
        <v>127</v>
      </c>
      <c r="C8" s="339"/>
      <c r="D8" s="339"/>
      <c r="E8" s="339" t="s">
        <v>414</v>
      </c>
      <c r="F8" s="339"/>
      <c r="G8" s="339"/>
      <c r="H8" s="339" t="s">
        <v>649</v>
      </c>
      <c r="I8" s="339"/>
      <c r="J8" s="339"/>
      <c r="K8" s="339" t="s">
        <v>535</v>
      </c>
    </row>
    <row r="9" spans="1:11" ht="23.25">
      <c r="A9" s="339"/>
      <c r="B9" s="142" t="s">
        <v>128</v>
      </c>
      <c r="C9" s="142" t="s">
        <v>416</v>
      </c>
      <c r="D9" s="142" t="s">
        <v>130</v>
      </c>
      <c r="E9" s="142" t="s">
        <v>424</v>
      </c>
      <c r="F9" s="142" t="s">
        <v>650</v>
      </c>
      <c r="G9" s="142" t="s">
        <v>651</v>
      </c>
      <c r="H9" s="142" t="s">
        <v>128</v>
      </c>
      <c r="I9" s="142" t="s">
        <v>416</v>
      </c>
      <c r="J9" s="142" t="s">
        <v>158</v>
      </c>
      <c r="K9" s="339"/>
    </row>
    <row r="10" spans="1:11">
      <c r="A10" s="143" t="s">
        <v>2</v>
      </c>
      <c r="B10" s="144">
        <v>4689095026.0600004</v>
      </c>
      <c r="C10" s="145">
        <v>0</v>
      </c>
      <c r="D10" s="145">
        <v>0</v>
      </c>
      <c r="E10" s="144">
        <v>41377263007.110001</v>
      </c>
      <c r="F10" s="144">
        <v>33403836.48</v>
      </c>
      <c r="G10" s="144">
        <v>41343859170.629997</v>
      </c>
      <c r="H10" s="144">
        <v>81826.5</v>
      </c>
      <c r="I10" s="145">
        <v>0</v>
      </c>
      <c r="J10" s="145">
        <v>0</v>
      </c>
      <c r="K10" s="146">
        <v>46066439859.669998</v>
      </c>
    </row>
    <row r="11" spans="1:11">
      <c r="A11" s="147" t="s">
        <v>307</v>
      </c>
      <c r="B11" s="146">
        <v>442495978.79000002</v>
      </c>
      <c r="C11" s="148">
        <v>0</v>
      </c>
      <c r="D11" s="148">
        <v>0</v>
      </c>
      <c r="E11" s="148">
        <v>0</v>
      </c>
      <c r="F11" s="146">
        <v>5232461.84</v>
      </c>
      <c r="G11" s="148">
        <v>0</v>
      </c>
      <c r="H11" s="148">
        <v>643.20000000000005</v>
      </c>
      <c r="I11" s="148">
        <v>0</v>
      </c>
      <c r="J11" s="148">
        <v>0</v>
      </c>
      <c r="K11" s="146">
        <v>442496621.99000001</v>
      </c>
    </row>
    <row r="12" spans="1:11">
      <c r="A12" s="149" t="s">
        <v>652</v>
      </c>
      <c r="B12" s="150">
        <v>19376709.09</v>
      </c>
      <c r="C12" s="151">
        <v>0</v>
      </c>
      <c r="D12" s="151">
        <v>0</v>
      </c>
      <c r="E12" s="151">
        <v>0</v>
      </c>
      <c r="F12" s="151">
        <v>0</v>
      </c>
      <c r="G12" s="151">
        <v>0</v>
      </c>
      <c r="H12" s="151">
        <v>643.20000000000005</v>
      </c>
      <c r="I12" s="151">
        <v>0</v>
      </c>
      <c r="J12" s="151">
        <v>0</v>
      </c>
      <c r="K12" s="146">
        <v>19377352.289999999</v>
      </c>
    </row>
    <row r="13" spans="1:11">
      <c r="A13" s="149" t="s">
        <v>653</v>
      </c>
      <c r="B13" s="150">
        <v>423119269.69999999</v>
      </c>
      <c r="C13" s="151">
        <v>0</v>
      </c>
      <c r="D13" s="151">
        <v>0</v>
      </c>
      <c r="E13" s="151">
        <v>0</v>
      </c>
      <c r="F13" s="151">
        <v>0</v>
      </c>
      <c r="G13" s="151">
        <v>0</v>
      </c>
      <c r="H13" s="151">
        <v>0</v>
      </c>
      <c r="I13" s="151">
        <v>0</v>
      </c>
      <c r="J13" s="151">
        <v>0</v>
      </c>
      <c r="K13" s="146">
        <v>423119269.69999999</v>
      </c>
    </row>
    <row r="14" spans="1:11">
      <c r="A14" s="149" t="s">
        <v>654</v>
      </c>
      <c r="B14" s="151">
        <v>0</v>
      </c>
      <c r="C14" s="151">
        <v>0</v>
      </c>
      <c r="D14" s="151">
        <v>0</v>
      </c>
      <c r="E14" s="150">
        <v>5232461.84</v>
      </c>
      <c r="F14" s="150">
        <v>5232461.84</v>
      </c>
      <c r="G14" s="151">
        <v>0</v>
      </c>
      <c r="H14" s="151">
        <v>0</v>
      </c>
      <c r="I14" s="151">
        <v>0</v>
      </c>
      <c r="J14" s="151">
        <v>0</v>
      </c>
      <c r="K14" s="146">
        <v>5232461.84</v>
      </c>
    </row>
    <row r="15" spans="1:11">
      <c r="A15" s="149" t="s">
        <v>655</v>
      </c>
      <c r="B15" s="151">
        <v>0</v>
      </c>
      <c r="C15" s="151">
        <v>0</v>
      </c>
      <c r="D15" s="151">
        <v>0</v>
      </c>
      <c r="E15" s="151">
        <v>0</v>
      </c>
      <c r="F15" s="151">
        <v>0</v>
      </c>
      <c r="G15" s="151">
        <v>0</v>
      </c>
      <c r="H15" s="151">
        <v>0</v>
      </c>
      <c r="I15" s="151">
        <v>0</v>
      </c>
      <c r="J15" s="151">
        <v>0</v>
      </c>
      <c r="K15" s="148">
        <v>0</v>
      </c>
    </row>
    <row r="16" spans="1:11">
      <c r="A16" s="147" t="s">
        <v>308</v>
      </c>
      <c r="B16" s="146">
        <v>419596455.69</v>
      </c>
      <c r="C16" s="148">
        <v>0</v>
      </c>
      <c r="D16" s="148">
        <v>0</v>
      </c>
      <c r="E16" s="146">
        <v>41351804962.879997</v>
      </c>
      <c r="F16" s="146">
        <v>7945792.25</v>
      </c>
      <c r="G16" s="146">
        <v>41343859170.629997</v>
      </c>
      <c r="H16" s="146">
        <v>82469.7</v>
      </c>
      <c r="I16" s="148">
        <v>0</v>
      </c>
      <c r="J16" s="148">
        <v>0</v>
      </c>
      <c r="K16" s="146">
        <v>41771483888.269997</v>
      </c>
    </row>
    <row r="17" spans="1:11">
      <c r="A17" s="149" t="s">
        <v>656</v>
      </c>
      <c r="B17" s="150">
        <v>105234455.69</v>
      </c>
      <c r="C17" s="151">
        <v>0</v>
      </c>
      <c r="D17" s="151">
        <v>0</v>
      </c>
      <c r="E17" s="150">
        <v>5549747.2000000002</v>
      </c>
      <c r="F17" s="150">
        <v>5549747.2000000002</v>
      </c>
      <c r="G17" s="151">
        <v>0</v>
      </c>
      <c r="H17" s="151">
        <v>0</v>
      </c>
      <c r="I17" s="151">
        <v>0</v>
      </c>
      <c r="J17" s="151">
        <v>0</v>
      </c>
      <c r="K17" s="146">
        <v>110784202.89</v>
      </c>
    </row>
    <row r="18" spans="1:11">
      <c r="A18" s="149" t="s">
        <v>652</v>
      </c>
      <c r="B18" s="151">
        <v>0</v>
      </c>
      <c r="C18" s="151">
        <v>0</v>
      </c>
      <c r="D18" s="151">
        <v>0</v>
      </c>
      <c r="E18" s="150">
        <v>316496.03000000003</v>
      </c>
      <c r="F18" s="150">
        <v>316496.03000000003</v>
      </c>
      <c r="G18" s="151">
        <v>0</v>
      </c>
      <c r="H18" s="151">
        <v>0</v>
      </c>
      <c r="I18" s="151">
        <v>0</v>
      </c>
      <c r="J18" s="151">
        <v>0</v>
      </c>
      <c r="K18" s="146">
        <v>316496.03000000003</v>
      </c>
    </row>
    <row r="19" spans="1:11">
      <c r="A19" s="149" t="s">
        <v>657</v>
      </c>
      <c r="B19" s="150">
        <v>314362000</v>
      </c>
      <c r="C19" s="151">
        <v>0</v>
      </c>
      <c r="D19" s="151">
        <v>0</v>
      </c>
      <c r="E19" s="151">
        <v>0</v>
      </c>
      <c r="F19" s="151">
        <v>0</v>
      </c>
      <c r="G19" s="151">
        <v>0</v>
      </c>
      <c r="H19" s="151">
        <v>0</v>
      </c>
      <c r="I19" s="151">
        <v>0</v>
      </c>
      <c r="J19" s="151">
        <v>0</v>
      </c>
      <c r="K19" s="146">
        <v>314362000</v>
      </c>
    </row>
    <row r="20" spans="1:11">
      <c r="A20" s="149" t="s">
        <v>658</v>
      </c>
      <c r="B20" s="151">
        <v>0</v>
      </c>
      <c r="C20" s="151">
        <v>0</v>
      </c>
      <c r="D20" s="151">
        <v>0</v>
      </c>
      <c r="E20" s="150">
        <v>143314179.69</v>
      </c>
      <c r="F20" s="150">
        <v>2079549.02</v>
      </c>
      <c r="G20" s="150">
        <v>141234630.66999999</v>
      </c>
      <c r="H20" s="151">
        <v>0</v>
      </c>
      <c r="I20" s="151">
        <v>0</v>
      </c>
      <c r="J20" s="151">
        <v>0</v>
      </c>
      <c r="K20" s="146">
        <v>2079549.02</v>
      </c>
    </row>
    <row r="21" spans="1:11">
      <c r="A21" s="149" t="s">
        <v>654</v>
      </c>
      <c r="B21" s="151">
        <v>0</v>
      </c>
      <c r="C21" s="151">
        <v>0</v>
      </c>
      <c r="D21" s="151">
        <v>0</v>
      </c>
      <c r="E21" s="150">
        <v>41202624539.959999</v>
      </c>
      <c r="F21" s="151">
        <v>0</v>
      </c>
      <c r="G21" s="150">
        <v>41202624539.959999</v>
      </c>
      <c r="H21" s="150">
        <v>82469.7</v>
      </c>
      <c r="I21" s="151">
        <v>0</v>
      </c>
      <c r="J21" s="151">
        <v>0</v>
      </c>
      <c r="K21" s="146">
        <v>41343941640.330002</v>
      </c>
    </row>
    <row r="22" spans="1:11">
      <c r="A22" s="149" t="s">
        <v>659</v>
      </c>
      <c r="B22" s="151">
        <v>0</v>
      </c>
      <c r="C22" s="151">
        <v>0</v>
      </c>
      <c r="D22" s="151">
        <v>0</v>
      </c>
      <c r="E22" s="151">
        <v>0</v>
      </c>
      <c r="F22" s="151">
        <v>0</v>
      </c>
      <c r="G22" s="151">
        <v>0</v>
      </c>
      <c r="H22" s="151">
        <v>0</v>
      </c>
      <c r="I22" s="151">
        <v>0</v>
      </c>
      <c r="J22" s="151">
        <v>0</v>
      </c>
      <c r="K22" s="148">
        <v>0</v>
      </c>
    </row>
    <row r="23" spans="1:11">
      <c r="A23" s="147" t="s">
        <v>3</v>
      </c>
      <c r="B23" s="146">
        <v>4711994549.1599998</v>
      </c>
      <c r="C23" s="148">
        <v>0</v>
      </c>
      <c r="D23" s="148">
        <v>0</v>
      </c>
      <c r="E23" s="146">
        <v>30690506.07</v>
      </c>
      <c r="F23" s="146">
        <v>30690506.07</v>
      </c>
      <c r="G23" s="148">
        <v>0</v>
      </c>
      <c r="H23" s="148">
        <v>0</v>
      </c>
      <c r="I23" s="148">
        <v>0</v>
      </c>
      <c r="J23" s="148">
        <v>0</v>
      </c>
      <c r="K23" s="146">
        <v>4742685055.2299995</v>
      </c>
    </row>
    <row r="25" spans="1:11">
      <c r="B25" s="18">
        <f>B10-'Bilans 31.12.2018'!B22</f>
        <v>0</v>
      </c>
      <c r="E25" s="18">
        <f>E10-'Bilans 31.12.2018'!B25</f>
        <v>0</v>
      </c>
    </row>
    <row r="26" spans="1:11">
      <c r="B26" s="18">
        <f>B23-'Bilans 31.12.2018'!C22</f>
        <v>0</v>
      </c>
      <c r="E26" s="18">
        <f>E23-'Bilans 31.12.2018'!C25</f>
        <v>0</v>
      </c>
    </row>
    <row r="29" spans="1:11">
      <c r="B29" s="18" t="e">
        <f>B23-#REF!</f>
        <v>#REF!</v>
      </c>
      <c r="E29" s="18" t="e">
        <f>E23-#REF!</f>
        <v>#REF!</v>
      </c>
      <c r="F29" s="18" t="e">
        <f>F23-#REF!</f>
        <v>#REF!</v>
      </c>
      <c r="G29" s="18" t="e">
        <f>G23-#REF!</f>
        <v>#REF!</v>
      </c>
      <c r="H29" s="18" t="e">
        <f>H23-#REF!</f>
        <v>#REF!</v>
      </c>
      <c r="K29" s="18" t="e">
        <f>K23-#REF!</f>
        <v>#REF!</v>
      </c>
    </row>
  </sheetData>
  <mergeCells count="7">
    <mergeCell ref="A5:K5"/>
    <mergeCell ref="A7:K7"/>
    <mergeCell ref="A8:A9"/>
    <mergeCell ref="B8:D8"/>
    <mergeCell ref="E8:G8"/>
    <mergeCell ref="H8:J8"/>
    <mergeCell ref="K8:K9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4"/>
  <sheetViews>
    <sheetView workbookViewId="0">
      <selection activeCell="B47" sqref="B47"/>
    </sheetView>
  </sheetViews>
  <sheetFormatPr defaultRowHeight="15"/>
  <cols>
    <col min="1" max="1" width="36.5703125" bestFit="1" customWidth="1"/>
    <col min="2" max="2" width="15.28515625" bestFit="1" customWidth="1"/>
    <col min="3" max="3" width="22.5703125" bestFit="1" customWidth="1"/>
    <col min="4" max="4" width="15.85546875" customWidth="1"/>
    <col min="5" max="5" width="21.140625" customWidth="1"/>
  </cols>
  <sheetData>
    <row r="3" spans="1:8">
      <c r="A3" s="19"/>
    </row>
    <row r="4" spans="1:8">
      <c r="A4" s="19"/>
    </row>
    <row r="5" spans="1:8" ht="15" customHeight="1">
      <c r="A5" s="305" t="s">
        <v>660</v>
      </c>
      <c r="B5" s="320"/>
      <c r="C5" s="320"/>
    </row>
    <row r="7" spans="1:8">
      <c r="A7" s="321"/>
      <c r="B7" s="321"/>
      <c r="C7" s="321"/>
    </row>
    <row r="8" spans="1:8">
      <c r="A8" s="94" t="s">
        <v>501</v>
      </c>
      <c r="B8" s="94" t="s">
        <v>2</v>
      </c>
      <c r="C8" s="94" t="s">
        <v>494</v>
      </c>
    </row>
    <row r="9" spans="1:8">
      <c r="A9" s="123" t="s">
        <v>661</v>
      </c>
      <c r="B9" s="106">
        <v>2628202.54</v>
      </c>
      <c r="C9" s="106">
        <v>2754714.08</v>
      </c>
      <c r="D9" s="18">
        <f>B9-'Bilans 31.12.2018'!B34</f>
        <v>0</v>
      </c>
      <c r="E9" s="18">
        <f>C9-'Bilans 31.12.2018'!C34</f>
        <v>0</v>
      </c>
      <c r="G9" s="18" t="e">
        <f>B9-#REF!</f>
        <v>#REF!</v>
      </c>
      <c r="H9" s="18" t="e">
        <f>C9-#REF!</f>
        <v>#REF!</v>
      </c>
    </row>
    <row r="10" spans="1:8">
      <c r="A10" s="123" t="s">
        <v>662</v>
      </c>
      <c r="B10" s="106">
        <v>52695943.840000004</v>
      </c>
      <c r="C10" s="106">
        <v>47342284.159999996</v>
      </c>
      <c r="D10" s="18">
        <f>B10-'Bilans 31.12.2018'!B35</f>
        <v>0</v>
      </c>
      <c r="E10" s="18">
        <f>C10-'Bilans 31.12.2018'!C35</f>
        <v>0</v>
      </c>
      <c r="G10" s="18" t="e">
        <f>B10-#REF!</f>
        <v>#REF!</v>
      </c>
      <c r="H10" s="18" t="e">
        <f>C10-#REF!</f>
        <v>#REF!</v>
      </c>
    </row>
    <row r="11" spans="1:8">
      <c r="A11" s="123" t="s">
        <v>663</v>
      </c>
      <c r="B11" s="107">
        <v>129.99</v>
      </c>
      <c r="C11" s="107">
        <v>129.99</v>
      </c>
      <c r="D11" s="18">
        <f>B11-'Bilans 31.12.2018'!B36</f>
        <v>0</v>
      </c>
      <c r="E11" s="18">
        <f>C11-'Bilans 31.12.2018'!C36</f>
        <v>0</v>
      </c>
      <c r="G11" s="18" t="e">
        <f>B11-#REF!</f>
        <v>#REF!</v>
      </c>
      <c r="H11" s="18" t="e">
        <f>C11-#REF!</f>
        <v>#REF!</v>
      </c>
    </row>
    <row r="12" spans="1:8">
      <c r="A12" s="152" t="s">
        <v>664</v>
      </c>
      <c r="B12" s="153">
        <f>B13+B16+B17+B18+B19</f>
        <v>222560379.38000003</v>
      </c>
      <c r="C12" s="153">
        <f>C13+C16+C17+C18+C19</f>
        <v>217499230.33999997</v>
      </c>
      <c r="D12" s="18">
        <f>B12-'Bilans 31.12.2018'!B37</f>
        <v>0</v>
      </c>
      <c r="E12" s="18">
        <f>C12-'Bilans 31.12.2018'!C37</f>
        <v>0</v>
      </c>
      <c r="G12" s="18" t="e">
        <f>B12-#REF!</f>
        <v>#REF!</v>
      </c>
      <c r="H12" s="18" t="e">
        <f>C12-#REF!</f>
        <v>#REF!</v>
      </c>
    </row>
    <row r="13" spans="1:8" ht="23.25">
      <c r="A13" s="128" t="s">
        <v>665</v>
      </c>
      <c r="B13" s="106">
        <f>B14-B15</f>
        <v>1284854.8700000048</v>
      </c>
      <c r="C13" s="106">
        <f>C14-C15</f>
        <v>1606054.9800000042</v>
      </c>
    </row>
    <row r="14" spans="1:8">
      <c r="A14" s="127" t="s">
        <v>666</v>
      </c>
      <c r="B14" s="106">
        <v>143355679.25</v>
      </c>
      <c r="C14" s="106">
        <v>91811500.530000001</v>
      </c>
    </row>
    <row r="15" spans="1:8" ht="23.25">
      <c r="A15" s="127" t="s">
        <v>667</v>
      </c>
      <c r="B15" s="106">
        <v>142070824.38</v>
      </c>
      <c r="C15" s="106">
        <v>90205445.549999997</v>
      </c>
    </row>
    <row r="16" spans="1:8">
      <c r="A16" s="128" t="s">
        <v>668</v>
      </c>
      <c r="B16" s="106">
        <v>8969865.9399999995</v>
      </c>
      <c r="C16" s="106">
        <v>8149151.3799999999</v>
      </c>
    </row>
    <row r="17" spans="1:8">
      <c r="A17" s="128" t="s">
        <v>669</v>
      </c>
      <c r="B17" s="106">
        <f>306688001.86-166700470.92</f>
        <v>139987530.94000003</v>
      </c>
      <c r="C17" s="106">
        <f>317401881.84-190028788.62</f>
        <v>127373093.21999997</v>
      </c>
    </row>
    <row r="18" spans="1:8">
      <c r="A18" s="128" t="s">
        <v>670</v>
      </c>
      <c r="B18" s="107">
        <v>0</v>
      </c>
      <c r="C18" s="106">
        <v>22270</v>
      </c>
    </row>
    <row r="19" spans="1:8">
      <c r="A19" s="128" t="s">
        <v>671</v>
      </c>
      <c r="B19" s="106">
        <v>72318127.629999995</v>
      </c>
      <c r="C19" s="106">
        <v>80348660.760000005</v>
      </c>
    </row>
    <row r="20" spans="1:8" ht="23.25">
      <c r="A20" s="123" t="s">
        <v>672</v>
      </c>
      <c r="B20" s="139">
        <v>0</v>
      </c>
      <c r="C20" s="139">
        <v>710.9</v>
      </c>
      <c r="D20" s="18">
        <f>B20-'Bilans 31.12.2018'!B38</f>
        <v>0</v>
      </c>
      <c r="E20" s="18">
        <f>C20-'Bilans 31.12.2018'!C38</f>
        <v>0</v>
      </c>
    </row>
    <row r="21" spans="1:8">
      <c r="A21" s="104" t="s">
        <v>535</v>
      </c>
      <c r="B21" s="125">
        <f>SUM(B9:B12)+B20</f>
        <v>277884655.75</v>
      </c>
      <c r="C21" s="125">
        <f>SUM(C9:C12)+C20</f>
        <v>267597069.46999997</v>
      </c>
      <c r="D21" s="18">
        <f>B21-'Bilans 31.12.2018'!B33</f>
        <v>0</v>
      </c>
      <c r="E21" s="18">
        <f>C21-'Bilans 31.12.2018'!C33</f>
        <v>0</v>
      </c>
      <c r="G21" s="18" t="e">
        <f>B21-#REF!</f>
        <v>#REF!</v>
      </c>
      <c r="H21" s="18" t="e">
        <f>C21-#REF!</f>
        <v>#REF!</v>
      </c>
    </row>
    <row r="22" spans="1:8">
      <c r="A22" s="322"/>
      <c r="B22" s="322"/>
      <c r="C22" s="322"/>
    </row>
    <row r="23" spans="1:8">
      <c r="A23" s="323"/>
      <c r="B23" s="323"/>
      <c r="C23" s="323"/>
    </row>
    <row r="24" spans="1:8">
      <c r="B24" s="18" t="e">
        <f>B21-#REF!</f>
        <v>#REF!</v>
      </c>
      <c r="C24" s="18" t="e">
        <f>C21-#REF!</f>
        <v>#REF!</v>
      </c>
    </row>
  </sheetData>
  <mergeCells count="4">
    <mergeCell ref="A5:C5"/>
    <mergeCell ref="A7:C7"/>
    <mergeCell ref="A22:C22"/>
    <mergeCell ref="A23:C2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5"/>
  <sheetViews>
    <sheetView workbookViewId="0">
      <selection activeCell="B47" sqref="B47"/>
    </sheetView>
  </sheetViews>
  <sheetFormatPr defaultRowHeight="15"/>
  <cols>
    <col min="1" max="1" width="19" bestFit="1" customWidth="1"/>
    <col min="2" max="2" width="24.5703125" customWidth="1"/>
    <col min="3" max="3" width="14.5703125" customWidth="1"/>
    <col min="4" max="4" width="19.28515625" customWidth="1"/>
    <col min="5" max="5" width="20.42578125" customWidth="1"/>
  </cols>
  <sheetData>
    <row r="3" spans="1:5">
      <c r="A3" s="19"/>
    </row>
    <row r="4" spans="1:5">
      <c r="A4" s="19"/>
    </row>
    <row r="5" spans="1:5" ht="15" customHeight="1">
      <c r="A5" s="305" t="s">
        <v>673</v>
      </c>
      <c r="B5" s="320"/>
      <c r="C5" s="320"/>
      <c r="D5" s="320"/>
      <c r="E5" s="320"/>
    </row>
    <row r="7" spans="1:5">
      <c r="A7" s="338"/>
      <c r="B7" s="338"/>
      <c r="C7" s="338"/>
      <c r="D7" s="338"/>
      <c r="E7" s="338"/>
    </row>
    <row r="8" spans="1:5" ht="21" customHeight="1">
      <c r="A8" s="340" t="s">
        <v>674</v>
      </c>
      <c r="B8" s="340" t="s">
        <v>675</v>
      </c>
      <c r="C8" s="340"/>
      <c r="D8" s="340"/>
      <c r="E8" s="340"/>
    </row>
    <row r="9" spans="1:5">
      <c r="A9" s="340"/>
      <c r="B9" s="340" t="s">
        <v>676</v>
      </c>
      <c r="C9" s="340" t="s">
        <v>677</v>
      </c>
      <c r="D9" s="340"/>
      <c r="E9" s="340"/>
    </row>
    <row r="10" spans="1:5">
      <c r="A10" s="340"/>
      <c r="B10" s="340"/>
      <c r="C10" s="154" t="s">
        <v>678</v>
      </c>
      <c r="D10" s="154" t="s">
        <v>679</v>
      </c>
      <c r="E10" s="154" t="s">
        <v>680</v>
      </c>
    </row>
    <row r="11" spans="1:5">
      <c r="A11" s="155" t="s">
        <v>681</v>
      </c>
      <c r="B11" s="150">
        <v>118562035.06</v>
      </c>
      <c r="C11" s="150">
        <v>38056969.299999997</v>
      </c>
      <c r="D11" s="150">
        <v>21516022.510000002</v>
      </c>
      <c r="E11" s="150">
        <v>256275410</v>
      </c>
    </row>
    <row r="12" spans="1:5">
      <c r="A12" s="156" t="s">
        <v>584</v>
      </c>
      <c r="B12" s="144">
        <v>118562035.06</v>
      </c>
      <c r="C12" s="144">
        <v>38056969.299999997</v>
      </c>
      <c r="D12" s="144">
        <v>21516022.510000002</v>
      </c>
      <c r="E12" s="144">
        <v>256275410</v>
      </c>
    </row>
    <row r="13" spans="1:5">
      <c r="A13" s="323"/>
      <c r="B13" s="323"/>
      <c r="C13" s="323"/>
      <c r="D13" s="323"/>
      <c r="E13" s="323"/>
    </row>
    <row r="14" spans="1:5">
      <c r="A14" s="323"/>
      <c r="B14" s="323"/>
      <c r="C14" s="323"/>
      <c r="D14" s="323"/>
      <c r="E14" s="323"/>
    </row>
    <row r="15" spans="1:5">
      <c r="B15" s="18" t="e">
        <f>B12-#REF!</f>
        <v>#REF!</v>
      </c>
      <c r="C15" s="18" t="e">
        <f>C12-#REF!</f>
        <v>#REF!</v>
      </c>
      <c r="D15" s="18" t="e">
        <f>D12-#REF!</f>
        <v>#REF!</v>
      </c>
      <c r="E15" s="18" t="e">
        <f>E12-#REF!</f>
        <v>#REF!</v>
      </c>
    </row>
  </sheetData>
  <mergeCells count="8">
    <mergeCell ref="A13:E13"/>
    <mergeCell ref="A14:E14"/>
    <mergeCell ref="A5:E5"/>
    <mergeCell ref="A7:E7"/>
    <mergeCell ref="A8:A10"/>
    <mergeCell ref="B8:E8"/>
    <mergeCell ref="B9:B10"/>
    <mergeCell ref="C9:E9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5"/>
  <sheetViews>
    <sheetView workbookViewId="0">
      <selection activeCell="B47" sqref="B47"/>
    </sheetView>
  </sheetViews>
  <sheetFormatPr defaultRowHeight="15"/>
  <cols>
    <col min="1" max="1" width="36.5703125" bestFit="1" customWidth="1"/>
    <col min="2" max="2" width="13.5703125" bestFit="1" customWidth="1"/>
  </cols>
  <sheetData>
    <row r="3" spans="1:3">
      <c r="A3" s="19"/>
    </row>
    <row r="4" spans="1:3">
      <c r="A4" s="19"/>
    </row>
    <row r="5" spans="1:3" ht="30" customHeight="1">
      <c r="A5" s="305" t="s">
        <v>682</v>
      </c>
      <c r="B5" s="320"/>
      <c r="C5" s="320"/>
    </row>
    <row r="7" spans="1:3">
      <c r="A7" s="321"/>
      <c r="B7" s="321"/>
    </row>
    <row r="8" spans="1:3">
      <c r="A8" s="105" t="s">
        <v>674</v>
      </c>
      <c r="B8" s="105"/>
    </row>
    <row r="9" spans="1:3" ht="33">
      <c r="A9" s="46" t="s">
        <v>683</v>
      </c>
      <c r="B9" s="97">
        <v>315827380.68000001</v>
      </c>
    </row>
    <row r="10" spans="1:3">
      <c r="A10" s="157" t="s">
        <v>584</v>
      </c>
      <c r="B10" s="158">
        <v>315827380.68000001</v>
      </c>
    </row>
    <row r="11" spans="1:3">
      <c r="A11" s="322"/>
      <c r="B11" s="322"/>
    </row>
    <row r="12" spans="1:3">
      <c r="A12" s="323"/>
      <c r="B12" s="323"/>
    </row>
    <row r="15" spans="1:3">
      <c r="B15" s="18" t="e">
        <f>B10-#REF!</f>
        <v>#REF!</v>
      </c>
    </row>
  </sheetData>
  <mergeCells count="4">
    <mergeCell ref="A5:C5"/>
    <mergeCell ref="A7:B7"/>
    <mergeCell ref="A11:B11"/>
    <mergeCell ref="A12:B12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2"/>
  <sheetViews>
    <sheetView workbookViewId="0">
      <selection activeCell="B47" sqref="B47"/>
    </sheetView>
  </sheetViews>
  <sheetFormatPr defaultRowHeight="15"/>
  <cols>
    <col min="1" max="1" width="23" customWidth="1"/>
    <col min="2" max="2" width="20.85546875" customWidth="1"/>
  </cols>
  <sheetData>
    <row r="3" spans="1:4">
      <c r="A3" s="19"/>
    </row>
    <row r="4" spans="1:4">
      <c r="A4" s="19"/>
    </row>
    <row r="5" spans="1:4" ht="15" customHeight="1">
      <c r="A5" s="305" t="s">
        <v>684</v>
      </c>
      <c r="B5" s="320"/>
      <c r="C5" s="320"/>
      <c r="D5" s="320"/>
    </row>
    <row r="7" spans="1:4">
      <c r="A7" s="321"/>
      <c r="B7" s="321"/>
    </row>
    <row r="8" spans="1:4" ht="22.5" customHeight="1">
      <c r="A8" s="341" t="s">
        <v>685</v>
      </c>
      <c r="B8" s="342"/>
    </row>
    <row r="9" spans="1:4">
      <c r="A9" s="122" t="s">
        <v>102</v>
      </c>
      <c r="B9" s="122" t="s">
        <v>3</v>
      </c>
    </row>
    <row r="10" spans="1:4">
      <c r="A10" s="107">
        <v>0</v>
      </c>
      <c r="B10" s="107">
        <v>0</v>
      </c>
    </row>
    <row r="11" spans="1:4">
      <c r="A11" s="322"/>
      <c r="B11" s="322"/>
    </row>
    <row r="12" spans="1:4">
      <c r="A12" s="323"/>
      <c r="B12" s="323"/>
    </row>
  </sheetData>
  <mergeCells count="5">
    <mergeCell ref="A5:D5"/>
    <mergeCell ref="A7:B7"/>
    <mergeCell ref="A8:B8"/>
    <mergeCell ref="A11:B11"/>
    <mergeCell ref="A12:B12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7"/>
  <sheetViews>
    <sheetView workbookViewId="0">
      <selection activeCell="B47" sqref="B47"/>
    </sheetView>
  </sheetViews>
  <sheetFormatPr defaultRowHeight="15"/>
  <cols>
    <col min="1" max="1" width="36.5703125" bestFit="1" customWidth="1"/>
    <col min="2" max="2" width="14.42578125" bestFit="1" customWidth="1"/>
    <col min="3" max="3" width="13.85546875" bestFit="1" customWidth="1"/>
  </cols>
  <sheetData>
    <row r="3" spans="1:3">
      <c r="A3" s="19"/>
    </row>
    <row r="4" spans="1:3">
      <c r="A4" s="19"/>
    </row>
    <row r="5" spans="1:3" ht="30" customHeight="1">
      <c r="A5" s="305" t="s">
        <v>686</v>
      </c>
      <c r="B5" s="320"/>
      <c r="C5" s="320"/>
    </row>
    <row r="6" spans="1:3" ht="15" customHeight="1">
      <c r="A6" s="343" t="s">
        <v>687</v>
      </c>
      <c r="B6" s="320"/>
      <c r="C6" s="320"/>
    </row>
    <row r="8" spans="1:3">
      <c r="A8" s="321"/>
      <c r="B8" s="321"/>
      <c r="C8" s="321"/>
    </row>
    <row r="9" spans="1:3">
      <c r="A9" s="105" t="s">
        <v>438</v>
      </c>
      <c r="B9" s="105" t="s">
        <v>688</v>
      </c>
      <c r="C9" s="105" t="s">
        <v>689</v>
      </c>
    </row>
    <row r="10" spans="1:3" ht="22.5">
      <c r="A10" s="46" t="s">
        <v>690</v>
      </c>
      <c r="B10" s="107">
        <v>0</v>
      </c>
      <c r="C10" s="107">
        <v>0</v>
      </c>
    </row>
    <row r="11" spans="1:3" ht="22.5">
      <c r="A11" s="46" t="s">
        <v>691</v>
      </c>
      <c r="B11" s="107">
        <v>0</v>
      </c>
      <c r="C11" s="107">
        <v>0</v>
      </c>
    </row>
    <row r="12" spans="1:3">
      <c r="A12" s="46" t="s">
        <v>290</v>
      </c>
      <c r="B12" s="108"/>
      <c r="C12" s="108"/>
    </row>
    <row r="13" spans="1:3">
      <c r="A13" s="46" t="s">
        <v>692</v>
      </c>
      <c r="B13" s="107">
        <v>0</v>
      </c>
      <c r="C13" s="107">
        <v>0</v>
      </c>
    </row>
    <row r="14" spans="1:3">
      <c r="A14" s="46" t="s">
        <v>693</v>
      </c>
      <c r="B14" s="107">
        <v>0</v>
      </c>
      <c r="C14" s="107">
        <v>0</v>
      </c>
    </row>
    <row r="15" spans="1:3">
      <c r="A15" s="332"/>
      <c r="B15" s="333"/>
      <c r="C15" s="334"/>
    </row>
    <row r="16" spans="1:3">
      <c r="A16" s="322"/>
      <c r="B16" s="322"/>
      <c r="C16" s="322"/>
    </row>
    <row r="17" spans="1:3">
      <c r="A17" s="323"/>
      <c r="B17" s="323"/>
      <c r="C17" s="323"/>
    </row>
  </sheetData>
  <mergeCells count="6">
    <mergeCell ref="A17:C17"/>
    <mergeCell ref="A5:C5"/>
    <mergeCell ref="A6:C6"/>
    <mergeCell ref="A8:C8"/>
    <mergeCell ref="A15:C15"/>
    <mergeCell ref="A16:C16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40"/>
  <sheetViews>
    <sheetView topLeftCell="A7" workbookViewId="0">
      <selection activeCell="B47" sqref="B47"/>
    </sheetView>
  </sheetViews>
  <sheetFormatPr defaultRowHeight="15"/>
  <cols>
    <col min="1" max="1" width="20.7109375" bestFit="1" customWidth="1"/>
    <col min="2" max="2" width="18.5703125" bestFit="1" customWidth="1"/>
    <col min="3" max="3" width="15.85546875" bestFit="1" customWidth="1"/>
  </cols>
  <sheetData>
    <row r="3" spans="1:4">
      <c r="A3" s="19"/>
    </row>
    <row r="4" spans="1:4">
      <c r="A4" s="19"/>
    </row>
    <row r="5" spans="1:4" ht="30" customHeight="1">
      <c r="A5" s="305" t="s">
        <v>694</v>
      </c>
      <c r="B5" s="320"/>
      <c r="C5" s="320"/>
      <c r="D5" s="320"/>
    </row>
    <row r="7" spans="1:4">
      <c r="A7" s="321"/>
      <c r="B7" s="321"/>
      <c r="C7" s="321"/>
    </row>
    <row r="8" spans="1:4">
      <c r="A8" s="94"/>
      <c r="B8" s="94" t="s">
        <v>695</v>
      </c>
      <c r="C8" s="94" t="s">
        <v>696</v>
      </c>
    </row>
    <row r="9" spans="1:4">
      <c r="A9" s="123" t="s">
        <v>697</v>
      </c>
      <c r="B9" s="97">
        <v>3574942.92</v>
      </c>
      <c r="C9" s="97">
        <v>17294668.609999999</v>
      </c>
    </row>
    <row r="10" spans="1:4">
      <c r="A10" s="123" t="s">
        <v>698</v>
      </c>
      <c r="B10" s="96">
        <v>0</v>
      </c>
      <c r="C10" s="97">
        <v>9621541.5899999999</v>
      </c>
    </row>
    <row r="11" spans="1:4" ht="15" customHeight="1">
      <c r="A11" s="332" t="s">
        <v>290</v>
      </c>
      <c r="B11" s="333"/>
      <c r="C11" s="334"/>
    </row>
    <row r="12" spans="1:4">
      <c r="A12" s="128"/>
      <c r="B12" s="96">
        <v>0</v>
      </c>
      <c r="C12" s="97">
        <v>9621541.5899999999</v>
      </c>
    </row>
    <row r="13" spans="1:4">
      <c r="A13" s="128"/>
      <c r="B13" s="96">
        <v>0</v>
      </c>
      <c r="C13" s="96">
        <v>0</v>
      </c>
    </row>
    <row r="14" spans="1:4">
      <c r="A14" s="128"/>
      <c r="B14" s="96">
        <v>0</v>
      </c>
      <c r="C14" s="96">
        <v>0</v>
      </c>
    </row>
    <row r="15" spans="1:4">
      <c r="A15" s="128"/>
      <c r="B15" s="96">
        <v>0</v>
      </c>
      <c r="C15" s="96">
        <v>0</v>
      </c>
    </row>
    <row r="16" spans="1:4">
      <c r="A16" s="128"/>
      <c r="B16" s="96">
        <v>0</v>
      </c>
      <c r="C16" s="96">
        <v>0</v>
      </c>
    </row>
    <row r="17" spans="1:3">
      <c r="A17" s="123" t="s">
        <v>699</v>
      </c>
      <c r="B17" s="97">
        <v>3574942.92</v>
      </c>
      <c r="C17" s="97">
        <v>7673127.0199999996</v>
      </c>
    </row>
    <row r="18" spans="1:3" ht="15" customHeight="1">
      <c r="A18" s="332" t="s">
        <v>290</v>
      </c>
      <c r="B18" s="333"/>
      <c r="C18" s="334"/>
    </row>
    <row r="19" spans="1:3">
      <c r="A19" s="128"/>
      <c r="B19" s="96">
        <v>0</v>
      </c>
      <c r="C19" s="97">
        <v>3871377.8</v>
      </c>
    </row>
    <row r="20" spans="1:3">
      <c r="A20" s="128"/>
      <c r="B20" s="97">
        <v>3574942.92</v>
      </c>
      <c r="C20" s="97">
        <v>3801749.22</v>
      </c>
    </row>
    <row r="21" spans="1:3">
      <c r="A21" s="128"/>
      <c r="B21" s="96">
        <v>0</v>
      </c>
      <c r="C21" s="96">
        <v>0</v>
      </c>
    </row>
    <row r="22" spans="1:3">
      <c r="A22" s="128"/>
      <c r="B22" s="96">
        <v>0</v>
      </c>
      <c r="C22" s="96">
        <v>0</v>
      </c>
    </row>
    <row r="23" spans="1:3">
      <c r="A23" s="128"/>
      <c r="B23" s="96">
        <v>0</v>
      </c>
      <c r="C23" s="96">
        <v>0</v>
      </c>
    </row>
    <row r="24" spans="1:3">
      <c r="A24" s="123" t="s">
        <v>700</v>
      </c>
      <c r="B24" s="97">
        <v>3801749.22</v>
      </c>
      <c r="C24" s="97">
        <v>12253772.4</v>
      </c>
    </row>
    <row r="25" spans="1:3">
      <c r="A25" s="123" t="s">
        <v>698</v>
      </c>
      <c r="B25" s="96">
        <v>0</v>
      </c>
      <c r="C25" s="96">
        <v>0</v>
      </c>
    </row>
    <row r="26" spans="1:3" ht="15" customHeight="1">
      <c r="A26" s="332" t="s">
        <v>290</v>
      </c>
      <c r="B26" s="333"/>
      <c r="C26" s="334"/>
    </row>
    <row r="27" spans="1:3">
      <c r="A27" s="128"/>
      <c r="B27" s="96">
        <v>0</v>
      </c>
      <c r="C27" s="96">
        <v>0</v>
      </c>
    </row>
    <row r="28" spans="1:3">
      <c r="A28" s="128"/>
      <c r="B28" s="96">
        <v>0</v>
      </c>
      <c r="C28" s="96">
        <v>0</v>
      </c>
    </row>
    <row r="29" spans="1:3">
      <c r="A29" s="128"/>
      <c r="B29" s="96">
        <v>0</v>
      </c>
      <c r="C29" s="96">
        <v>0</v>
      </c>
    </row>
    <row r="30" spans="1:3">
      <c r="A30" s="128"/>
      <c r="B30" s="96">
        <v>0</v>
      </c>
      <c r="C30" s="96">
        <v>0</v>
      </c>
    </row>
    <row r="31" spans="1:3">
      <c r="A31" s="128"/>
      <c r="B31" s="96">
        <v>0</v>
      </c>
      <c r="C31" s="96">
        <v>0</v>
      </c>
    </row>
    <row r="32" spans="1:3">
      <c r="A32" s="123" t="s">
        <v>699</v>
      </c>
      <c r="B32" s="97">
        <v>3801749.22</v>
      </c>
      <c r="C32" s="97">
        <v>12253772.4</v>
      </c>
    </row>
    <row r="33" spans="1:3" ht="15" customHeight="1">
      <c r="A33" s="332" t="s">
        <v>290</v>
      </c>
      <c r="B33" s="333"/>
      <c r="C33" s="334"/>
    </row>
    <row r="34" spans="1:3">
      <c r="A34" s="128"/>
      <c r="B34" s="96">
        <v>0</v>
      </c>
      <c r="C34" s="97">
        <v>4486721.7699999996</v>
      </c>
    </row>
    <row r="35" spans="1:3">
      <c r="A35" s="128"/>
      <c r="B35" s="97">
        <v>3801749.22</v>
      </c>
      <c r="C35" s="97">
        <v>7767050.6299999999</v>
      </c>
    </row>
    <row r="36" spans="1:3">
      <c r="A36" s="128"/>
      <c r="B36" s="96">
        <v>0</v>
      </c>
      <c r="C36" s="96">
        <v>0</v>
      </c>
    </row>
    <row r="37" spans="1:3">
      <c r="A37" s="128"/>
      <c r="B37" s="96">
        <v>0</v>
      </c>
      <c r="C37" s="96">
        <v>0</v>
      </c>
    </row>
    <row r="38" spans="1:3">
      <c r="A38" s="128"/>
      <c r="B38" s="96">
        <v>0</v>
      </c>
      <c r="C38" s="96">
        <v>0</v>
      </c>
    </row>
    <row r="39" spans="1:3">
      <c r="A39" s="322"/>
      <c r="B39" s="322"/>
      <c r="C39" s="322"/>
    </row>
    <row r="40" spans="1:3">
      <c r="A40" s="323"/>
      <c r="B40" s="323"/>
      <c r="C40" s="323"/>
    </row>
  </sheetData>
  <mergeCells count="8">
    <mergeCell ref="A39:C39"/>
    <mergeCell ref="A40:C40"/>
    <mergeCell ref="A5:D5"/>
    <mergeCell ref="A7:C7"/>
    <mergeCell ref="A11:C11"/>
    <mergeCell ref="A18:C18"/>
    <mergeCell ref="A26:C26"/>
    <mergeCell ref="A33:C3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6"/>
  <sheetViews>
    <sheetView workbookViewId="0">
      <selection activeCell="H29" sqref="H29"/>
    </sheetView>
  </sheetViews>
  <sheetFormatPr defaultRowHeight="15"/>
  <cols>
    <col min="1" max="1" width="29.28515625" bestFit="1" customWidth="1"/>
    <col min="2" max="2" width="22.7109375" bestFit="1" customWidth="1"/>
    <col min="3" max="3" width="20.28515625" bestFit="1" customWidth="1"/>
  </cols>
  <sheetData>
    <row r="3" spans="1:3">
      <c r="A3" s="19"/>
    </row>
    <row r="4" spans="1:3">
      <c r="A4" s="19"/>
    </row>
    <row r="5" spans="1:3" ht="60" customHeight="1">
      <c r="A5" s="305" t="s">
        <v>701</v>
      </c>
      <c r="B5" s="320"/>
      <c r="C5" s="320"/>
    </row>
    <row r="7" spans="1:3">
      <c r="A7" s="159" t="s">
        <v>702</v>
      </c>
      <c r="B7" s="159" t="s">
        <v>2</v>
      </c>
      <c r="C7" s="159" t="s">
        <v>3</v>
      </c>
    </row>
    <row r="8" spans="1:3">
      <c r="A8" s="160" t="s">
        <v>703</v>
      </c>
      <c r="B8" s="161">
        <v>0</v>
      </c>
      <c r="C8" s="161">
        <v>0</v>
      </c>
    </row>
    <row r="9" spans="1:3">
      <c r="A9" s="160" t="s">
        <v>704</v>
      </c>
      <c r="B9" s="161">
        <v>0</v>
      </c>
      <c r="C9" s="161">
        <v>0</v>
      </c>
    </row>
    <row r="10" spans="1:3">
      <c r="A10" s="160" t="s">
        <v>705</v>
      </c>
      <c r="B10" s="161">
        <v>0</v>
      </c>
      <c r="C10" s="161">
        <v>0</v>
      </c>
    </row>
    <row r="11" spans="1:3">
      <c r="A11" s="160" t="s">
        <v>706</v>
      </c>
      <c r="B11" s="161">
        <v>0</v>
      </c>
      <c r="C11" s="161">
        <v>0</v>
      </c>
    </row>
    <row r="12" spans="1:3">
      <c r="A12" s="160" t="s">
        <v>707</v>
      </c>
      <c r="B12" s="161">
        <v>0</v>
      </c>
      <c r="C12" s="161">
        <v>0</v>
      </c>
    </row>
    <row r="13" spans="1:3">
      <c r="A13" s="160" t="s">
        <v>708</v>
      </c>
      <c r="B13" s="161">
        <v>0</v>
      </c>
      <c r="C13" s="161">
        <v>0</v>
      </c>
    </row>
    <row r="14" spans="1:3">
      <c r="A14" s="160" t="s">
        <v>709</v>
      </c>
      <c r="B14" s="161">
        <v>0</v>
      </c>
      <c r="C14" s="161">
        <v>0</v>
      </c>
    </row>
    <row r="15" spans="1:3">
      <c r="A15" s="160" t="s">
        <v>710</v>
      </c>
      <c r="B15" s="161">
        <v>0</v>
      </c>
      <c r="C15" s="161">
        <v>0</v>
      </c>
    </row>
    <row r="16" spans="1:3">
      <c r="A16" s="160" t="s">
        <v>711</v>
      </c>
      <c r="B16" s="161">
        <v>0</v>
      </c>
      <c r="C16" s="161">
        <v>0</v>
      </c>
    </row>
    <row r="17" spans="1:3">
      <c r="A17" s="160" t="s">
        <v>712</v>
      </c>
      <c r="B17" s="161">
        <v>0</v>
      </c>
      <c r="C17" s="161">
        <v>0</v>
      </c>
    </row>
    <row r="18" spans="1:3">
      <c r="A18" s="160" t="s">
        <v>713</v>
      </c>
      <c r="B18" s="161">
        <v>0</v>
      </c>
      <c r="C18" s="161">
        <v>0</v>
      </c>
    </row>
    <row r="19" spans="1:3">
      <c r="A19" s="160" t="s">
        <v>714</v>
      </c>
      <c r="B19" s="161">
        <v>0</v>
      </c>
      <c r="C19" s="161">
        <v>0</v>
      </c>
    </row>
    <row r="20" spans="1:3">
      <c r="A20" s="160" t="s">
        <v>715</v>
      </c>
      <c r="B20" s="161">
        <v>0</v>
      </c>
      <c r="C20" s="161">
        <v>0</v>
      </c>
    </row>
    <row r="21" spans="1:3">
      <c r="A21" s="160" t="s">
        <v>716</v>
      </c>
      <c r="B21" s="161">
        <v>0</v>
      </c>
      <c r="C21" s="161">
        <v>0</v>
      </c>
    </row>
    <row r="22" spans="1:3">
      <c r="A22" s="160" t="s">
        <v>717</v>
      </c>
      <c r="B22" s="161">
        <v>0</v>
      </c>
      <c r="C22" s="161">
        <v>0</v>
      </c>
    </row>
    <row r="23" spans="1:3">
      <c r="A23" s="160" t="s">
        <v>718</v>
      </c>
      <c r="B23" s="161">
        <v>0</v>
      </c>
      <c r="C23" s="161">
        <v>0</v>
      </c>
    </row>
    <row r="24" spans="1:3">
      <c r="A24" s="160" t="s">
        <v>719</v>
      </c>
      <c r="B24" s="161">
        <v>0</v>
      </c>
      <c r="C24" s="161">
        <v>0</v>
      </c>
    </row>
    <row r="25" spans="1:3">
      <c r="A25" s="160" t="s">
        <v>720</v>
      </c>
      <c r="B25" s="161">
        <v>0</v>
      </c>
      <c r="C25" s="161">
        <v>0</v>
      </c>
    </row>
    <row r="26" spans="1:3">
      <c r="A26" s="160" t="s">
        <v>721</v>
      </c>
      <c r="B26" s="161">
        <v>0</v>
      </c>
      <c r="C26" s="161">
        <v>0</v>
      </c>
    </row>
  </sheetData>
  <mergeCells count="1">
    <mergeCell ref="A5:C5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55"/>
  <sheetViews>
    <sheetView topLeftCell="A22" workbookViewId="0">
      <selection activeCell="H29" sqref="H29"/>
    </sheetView>
  </sheetViews>
  <sheetFormatPr defaultRowHeight="15"/>
  <cols>
    <col min="1" max="1" width="9.5703125" bestFit="1" customWidth="1"/>
    <col min="2" max="2" width="36.5703125" bestFit="1" customWidth="1"/>
    <col min="3" max="3" width="18.5703125" bestFit="1" customWidth="1"/>
    <col min="4" max="4" width="17.5703125" bestFit="1" customWidth="1"/>
    <col min="5" max="6" width="11.42578125" bestFit="1" customWidth="1"/>
  </cols>
  <sheetData>
    <row r="3" spans="1:6">
      <c r="A3" s="19"/>
    </row>
    <row r="4" spans="1:6">
      <c r="A4" s="19"/>
    </row>
    <row r="5" spans="1:6" ht="15" customHeight="1">
      <c r="A5" s="305" t="s">
        <v>722</v>
      </c>
      <c r="B5" s="320"/>
      <c r="C5" s="320"/>
      <c r="D5" s="320"/>
    </row>
    <row r="7" spans="1:6">
      <c r="A7" s="321"/>
      <c r="B7" s="321"/>
      <c r="C7" s="321"/>
      <c r="D7" s="321"/>
    </row>
    <row r="8" spans="1:6">
      <c r="A8" s="104" t="s">
        <v>723</v>
      </c>
      <c r="B8" s="94" t="s">
        <v>724</v>
      </c>
      <c r="C8" s="94" t="s">
        <v>695</v>
      </c>
      <c r="D8" s="94" t="s">
        <v>725</v>
      </c>
    </row>
    <row r="9" spans="1:6">
      <c r="A9" s="122" t="s">
        <v>726</v>
      </c>
      <c r="B9" s="123" t="s">
        <v>727</v>
      </c>
      <c r="C9" s="133">
        <f>SUM(C10:C17)</f>
        <v>602887322.19999993</v>
      </c>
      <c r="D9" s="133">
        <f>SUM(D10:D17)</f>
        <v>605373834.25999999</v>
      </c>
      <c r="E9" s="18">
        <f>C9-'RZiS 31.12.2018'!C9</f>
        <v>0</v>
      </c>
      <c r="F9" s="18">
        <f>D9-'RZiS 31.12.2018'!D9</f>
        <v>0</v>
      </c>
    </row>
    <row r="10" spans="1:6" ht="23.25">
      <c r="A10" s="162"/>
      <c r="B10" s="128" t="s">
        <v>728</v>
      </c>
      <c r="C10" s="106">
        <v>129762944.8</v>
      </c>
      <c r="D10" s="106">
        <v>112812737.51000001</v>
      </c>
    </row>
    <row r="11" spans="1:6">
      <c r="A11" s="162"/>
      <c r="B11" s="128" t="s">
        <v>729</v>
      </c>
      <c r="C11" s="106">
        <v>444219892.76999998</v>
      </c>
      <c r="D11" s="106">
        <v>464443211.48000002</v>
      </c>
    </row>
    <row r="12" spans="1:6" ht="23.25">
      <c r="A12" s="162"/>
      <c r="B12" s="128" t="s">
        <v>730</v>
      </c>
      <c r="C12" s="106">
        <v>4461671.32</v>
      </c>
      <c r="D12" s="106">
        <v>7964196.1299999999</v>
      </c>
    </row>
    <row r="13" spans="1:6" ht="23.25">
      <c r="A13" s="162"/>
      <c r="B13" s="128" t="s">
        <v>731</v>
      </c>
      <c r="C13" s="107">
        <v>0</v>
      </c>
      <c r="D13" s="107">
        <v>0</v>
      </c>
    </row>
    <row r="14" spans="1:6">
      <c r="A14" s="162"/>
      <c r="B14" s="128" t="s">
        <v>732</v>
      </c>
      <c r="C14" s="106">
        <v>4673476.49</v>
      </c>
      <c r="D14" s="106">
        <v>4876965.24</v>
      </c>
    </row>
    <row r="15" spans="1:6" ht="34.5">
      <c r="A15" s="162"/>
      <c r="B15" s="128" t="s">
        <v>733</v>
      </c>
      <c r="C15" s="107">
        <v>0</v>
      </c>
      <c r="D15" s="107">
        <v>0</v>
      </c>
    </row>
    <row r="16" spans="1:6">
      <c r="A16" s="162"/>
      <c r="B16" s="128" t="s">
        <v>734</v>
      </c>
      <c r="C16" s="106">
        <v>5145692.6399999997</v>
      </c>
      <c r="D16" s="106">
        <v>3747166.65</v>
      </c>
    </row>
    <row r="17" spans="1:6" ht="23.25">
      <c r="A17" s="162"/>
      <c r="B17" s="128" t="s">
        <v>735</v>
      </c>
      <c r="C17" s="106">
        <f>14623744.43-100.25</f>
        <v>14623644.18</v>
      </c>
      <c r="D17" s="106">
        <f>11537334.87-7777.62</f>
        <v>11529557.25</v>
      </c>
    </row>
    <row r="18" spans="1:6" ht="23.25">
      <c r="A18" s="122" t="s">
        <v>736</v>
      </c>
      <c r="B18" s="123" t="s">
        <v>737</v>
      </c>
      <c r="C18" s="133">
        <v>159519.07</v>
      </c>
      <c r="D18" s="133">
        <v>-7917.24</v>
      </c>
      <c r="E18" s="18">
        <f>C18-'RZiS 31.12.2018'!C10</f>
        <v>0</v>
      </c>
      <c r="F18" s="18">
        <f>D18-'RZiS 31.12.2018'!D10</f>
        <v>0</v>
      </c>
    </row>
    <row r="19" spans="1:6" ht="23.25">
      <c r="A19" s="122" t="s">
        <v>738</v>
      </c>
      <c r="B19" s="123" t="s">
        <v>364</v>
      </c>
      <c r="C19" s="139">
        <v>0</v>
      </c>
      <c r="D19" s="139">
        <v>0</v>
      </c>
      <c r="E19" s="18">
        <f>C19-'RZiS 31.12.2018'!C11</f>
        <v>0</v>
      </c>
      <c r="F19" s="18">
        <f>D19-'RZiS 31.12.2018'!D11</f>
        <v>0</v>
      </c>
    </row>
    <row r="20" spans="1:6">
      <c r="A20" s="122" t="s">
        <v>739</v>
      </c>
      <c r="B20" s="123" t="s">
        <v>365</v>
      </c>
      <c r="C20" s="139">
        <v>0</v>
      </c>
      <c r="D20" s="139">
        <v>0</v>
      </c>
      <c r="E20" s="18">
        <f>C20-'RZiS 31.12.2018'!C12</f>
        <v>0</v>
      </c>
      <c r="F20" s="18">
        <f>D20-'RZiS 31.12.2018'!D12</f>
        <v>0</v>
      </c>
    </row>
    <row r="21" spans="1:6">
      <c r="A21" s="122" t="s">
        <v>740</v>
      </c>
      <c r="B21" s="123" t="s">
        <v>741</v>
      </c>
      <c r="C21" s="139">
        <v>0</v>
      </c>
      <c r="D21" s="139">
        <v>0</v>
      </c>
      <c r="E21" s="18">
        <f>C21-'RZiS 31.12.2018'!C13</f>
        <v>0</v>
      </c>
      <c r="F21" s="18">
        <f>D21-'RZiS 31.12.2018'!D13</f>
        <v>0</v>
      </c>
    </row>
    <row r="22" spans="1:6">
      <c r="A22" s="122" t="s">
        <v>742</v>
      </c>
      <c r="B22" s="123" t="s">
        <v>367</v>
      </c>
      <c r="C22" s="133">
        <f>C23+C31+C34+C37</f>
        <v>12427337624.509998</v>
      </c>
      <c r="D22" s="133">
        <f>D23+D31+D34+D37</f>
        <v>13662309721.82</v>
      </c>
      <c r="E22" s="18">
        <f>C22-'RZiS 31.12.2018'!C14</f>
        <v>0</v>
      </c>
      <c r="F22" s="18">
        <f>D22-'RZiS 31.12.2018'!D14</f>
        <v>0</v>
      </c>
    </row>
    <row r="23" spans="1:6">
      <c r="A23" s="134" t="s">
        <v>109</v>
      </c>
      <c r="B23" s="128" t="s">
        <v>743</v>
      </c>
      <c r="C23" s="106">
        <f>SUM(C24:C30)</f>
        <v>2118219596.8699999</v>
      </c>
      <c r="D23" s="106">
        <f>SUM(D24:D30)</f>
        <v>2114340244.1900001</v>
      </c>
    </row>
    <row r="24" spans="1:6">
      <c r="A24" s="162"/>
      <c r="B24" s="128" t="s">
        <v>744</v>
      </c>
      <c r="C24" s="106">
        <v>1173425513.8199999</v>
      </c>
      <c r="D24" s="106">
        <v>1230951999.3699999</v>
      </c>
    </row>
    <row r="25" spans="1:6">
      <c r="A25" s="162"/>
      <c r="B25" s="128" t="s">
        <v>745</v>
      </c>
      <c r="C25" s="106">
        <v>30506855.32</v>
      </c>
      <c r="D25" s="106">
        <v>29436196.859999999</v>
      </c>
    </row>
    <row r="26" spans="1:6">
      <c r="A26" s="162"/>
      <c r="B26" s="128" t="s">
        <v>746</v>
      </c>
      <c r="C26" s="106">
        <v>636081144.72000003</v>
      </c>
      <c r="D26" s="106">
        <v>581949382.83000004</v>
      </c>
    </row>
    <row r="27" spans="1:6">
      <c r="A27" s="162"/>
      <c r="B27" s="128" t="s">
        <v>747</v>
      </c>
      <c r="C27" s="106">
        <v>1343077.25</v>
      </c>
      <c r="D27" s="106">
        <v>1356827.18</v>
      </c>
    </row>
    <row r="28" spans="1:6">
      <c r="A28" s="162"/>
      <c r="B28" s="128" t="s">
        <v>748</v>
      </c>
      <c r="C28" s="106">
        <v>13823.24</v>
      </c>
      <c r="D28" s="106">
        <v>-467206.96</v>
      </c>
    </row>
    <row r="29" spans="1:6">
      <c r="A29" s="162"/>
      <c r="B29" s="128" t="s">
        <v>749</v>
      </c>
      <c r="C29" s="106">
        <v>94582409.370000005</v>
      </c>
      <c r="D29" s="106">
        <v>95805976.709999993</v>
      </c>
    </row>
    <row r="30" spans="1:6">
      <c r="A30" s="162"/>
      <c r="B30" s="128" t="s">
        <v>671</v>
      </c>
      <c r="C30" s="106">
        <f>185183583.65-2916810.5</f>
        <v>182266773.15000001</v>
      </c>
      <c r="D30" s="106">
        <f>180255245.85-4948177.65</f>
        <v>175307068.19999999</v>
      </c>
    </row>
    <row r="31" spans="1:6" ht="23.25">
      <c r="A31" s="134" t="s">
        <v>120</v>
      </c>
      <c r="B31" s="128" t="s">
        <v>750</v>
      </c>
      <c r="C31" s="106">
        <f>SUM(C32:C33)</f>
        <v>5765311672.8999996</v>
      </c>
      <c r="D31" s="106">
        <f>SUM(D32:D33)</f>
        <v>6657979589.6999998</v>
      </c>
    </row>
    <row r="32" spans="1:6">
      <c r="A32" s="162"/>
      <c r="B32" s="128" t="s">
        <v>751</v>
      </c>
      <c r="C32" s="106">
        <v>5040924342</v>
      </c>
      <c r="D32" s="106">
        <v>5751908918</v>
      </c>
    </row>
    <row r="33" spans="1:4">
      <c r="A33" s="162"/>
      <c r="B33" s="128" t="s">
        <v>752</v>
      </c>
      <c r="C33" s="106">
        <v>724387330.89999998</v>
      </c>
      <c r="D33" s="106">
        <v>906070671.70000005</v>
      </c>
    </row>
    <row r="34" spans="1:4">
      <c r="A34" s="134" t="s">
        <v>122</v>
      </c>
      <c r="B34" s="128" t="s">
        <v>753</v>
      </c>
      <c r="C34" s="106">
        <f>SUM(C35:C36)</f>
        <v>3776447934.2600002</v>
      </c>
      <c r="D34" s="106">
        <f>SUM(D35:D36)</f>
        <v>4126895408.3299999</v>
      </c>
    </row>
    <row r="35" spans="1:4">
      <c r="A35" s="162"/>
      <c r="B35" s="128" t="s">
        <v>754</v>
      </c>
      <c r="C35" s="106">
        <v>1938287347.26</v>
      </c>
      <c r="D35" s="106">
        <v>2102414723.3299999</v>
      </c>
    </row>
    <row r="36" spans="1:4">
      <c r="A36" s="162"/>
      <c r="B36" s="128" t="s">
        <v>755</v>
      </c>
      <c r="C36" s="106">
        <v>1838160587</v>
      </c>
      <c r="D36" s="106">
        <v>2024480685</v>
      </c>
    </row>
    <row r="37" spans="1:4">
      <c r="A37" s="134" t="s">
        <v>141</v>
      </c>
      <c r="B37" s="128" t="s">
        <v>756</v>
      </c>
      <c r="C37" s="106">
        <f>SUM(C38:C51)</f>
        <v>767358420.48000002</v>
      </c>
      <c r="D37" s="106">
        <f>SUM(D38:D51)</f>
        <v>763094479.60000002</v>
      </c>
    </row>
    <row r="38" spans="1:4" ht="23.25">
      <c r="A38" s="162"/>
      <c r="B38" s="128" t="s">
        <v>757</v>
      </c>
      <c r="C38" s="106">
        <v>131346120.62</v>
      </c>
      <c r="D38" s="106">
        <v>121799260.81</v>
      </c>
    </row>
    <row r="39" spans="1:4">
      <c r="A39" s="162"/>
      <c r="B39" s="128" t="s">
        <v>758</v>
      </c>
      <c r="C39" s="107">
        <v>0</v>
      </c>
      <c r="D39" s="107">
        <v>0</v>
      </c>
    </row>
    <row r="40" spans="1:4" ht="23.25">
      <c r="A40" s="162"/>
      <c r="B40" s="128" t="s">
        <v>759</v>
      </c>
      <c r="C40" s="107">
        <v>0</v>
      </c>
      <c r="D40" s="107">
        <v>0</v>
      </c>
    </row>
    <row r="41" spans="1:4">
      <c r="A41" s="162"/>
      <c r="B41" s="128" t="s">
        <v>760</v>
      </c>
      <c r="C41" s="107">
        <v>0</v>
      </c>
      <c r="D41" s="107">
        <v>0</v>
      </c>
    </row>
    <row r="42" spans="1:4">
      <c r="A42" s="162"/>
      <c r="B42" s="128" t="s">
        <v>761</v>
      </c>
      <c r="C42" s="106">
        <v>17326404.379999999</v>
      </c>
      <c r="D42" s="106">
        <v>16404084.08</v>
      </c>
    </row>
    <row r="43" spans="1:4" ht="23.25">
      <c r="A43" s="162"/>
      <c r="B43" s="128" t="s">
        <v>762</v>
      </c>
      <c r="C43" s="106">
        <v>22193170.640000001</v>
      </c>
      <c r="D43" s="106">
        <v>15619396.949999999</v>
      </c>
    </row>
    <row r="44" spans="1:4">
      <c r="A44" s="162"/>
      <c r="B44" s="128" t="s">
        <v>763</v>
      </c>
      <c r="C44" s="106">
        <v>75750058.540000007</v>
      </c>
      <c r="D44" s="106">
        <v>85372594.599999994</v>
      </c>
    </row>
    <row r="45" spans="1:4">
      <c r="A45" s="162"/>
      <c r="B45" s="128" t="s">
        <v>764</v>
      </c>
      <c r="C45" s="106">
        <v>52106996.079999998</v>
      </c>
      <c r="D45" s="106">
        <v>54770142.869999997</v>
      </c>
    </row>
    <row r="46" spans="1:4">
      <c r="A46" s="162"/>
      <c r="B46" s="128" t="s">
        <v>765</v>
      </c>
      <c r="C46" s="106">
        <v>54816442.549999997</v>
      </c>
      <c r="D46" s="106">
        <v>58368988.630000003</v>
      </c>
    </row>
    <row r="47" spans="1:4">
      <c r="A47" s="162"/>
      <c r="B47" s="128" t="s">
        <v>766</v>
      </c>
      <c r="C47" s="106">
        <v>18649735.5</v>
      </c>
      <c r="D47" s="106">
        <v>21180181.879999999</v>
      </c>
    </row>
    <row r="48" spans="1:4" ht="23.25">
      <c r="A48" s="162"/>
      <c r="B48" s="128" t="s">
        <v>767</v>
      </c>
      <c r="C48" s="107">
        <v>0</v>
      </c>
      <c r="D48" s="107">
        <v>0</v>
      </c>
    </row>
    <row r="49" spans="1:6" ht="23.25">
      <c r="A49" s="162"/>
      <c r="B49" s="128" t="s">
        <v>768</v>
      </c>
      <c r="C49" s="106">
        <v>8241265.1900000004</v>
      </c>
      <c r="D49" s="106">
        <v>7682190.5499999998</v>
      </c>
    </row>
    <row r="50" spans="1:6">
      <c r="A50" s="162"/>
      <c r="B50" s="128" t="s">
        <v>769</v>
      </c>
      <c r="C50" s="106">
        <v>307309000.97000003</v>
      </c>
      <c r="D50" s="106">
        <v>318259538.01999998</v>
      </c>
    </row>
    <row r="51" spans="1:6" ht="23.25">
      <c r="A51" s="162"/>
      <c r="B51" s="128" t="s">
        <v>770</v>
      </c>
      <c r="C51" s="106">
        <v>79619226.010000005</v>
      </c>
      <c r="D51" s="106">
        <v>63638101.210000001</v>
      </c>
    </row>
    <row r="52" spans="1:6">
      <c r="A52" s="94" t="s">
        <v>103</v>
      </c>
      <c r="B52" s="104" t="s">
        <v>535</v>
      </c>
      <c r="C52" s="125">
        <f>C9+C18+C19+C20+C21+C22</f>
        <v>13030384465.779999</v>
      </c>
      <c r="D52" s="125">
        <f>D9+D18+D19+D20+D21+D22</f>
        <v>14267675638.84</v>
      </c>
      <c r="E52" s="18">
        <f>C52-'RZiS 31.12.2018'!C8</f>
        <v>0</v>
      </c>
      <c r="F52" s="18">
        <f>D52-'RZiS 31.12.2018'!D8</f>
        <v>0</v>
      </c>
    </row>
    <row r="53" spans="1:6">
      <c r="A53" s="322"/>
      <c r="B53" s="322"/>
      <c r="C53" s="322"/>
      <c r="D53" s="322"/>
    </row>
    <row r="54" spans="1:6">
      <c r="A54" s="323"/>
      <c r="B54" s="323"/>
      <c r="C54" s="323"/>
      <c r="D54" s="323"/>
    </row>
    <row r="55" spans="1:6">
      <c r="C55" s="18" t="e">
        <f>C52-#REF!</f>
        <v>#REF!</v>
      </c>
      <c r="D55" s="18" t="e">
        <f>D52-#REF!</f>
        <v>#REF!</v>
      </c>
    </row>
  </sheetData>
  <mergeCells count="4">
    <mergeCell ref="A5:D5"/>
    <mergeCell ref="A7:D7"/>
    <mergeCell ref="A53:D53"/>
    <mergeCell ref="A54:D5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1"/>
  <sheetViews>
    <sheetView topLeftCell="A46" workbookViewId="0">
      <pane xSplit="2" ySplit="2" topLeftCell="N48" activePane="bottomRight" state="frozen"/>
      <selection activeCell="B47" sqref="B47"/>
      <selection pane="topRight" activeCell="B47" sqref="B47"/>
      <selection pane="bottomLeft" activeCell="B47" sqref="B47"/>
      <selection pane="bottomRight" activeCell="B47" sqref="B47"/>
    </sheetView>
  </sheetViews>
  <sheetFormatPr defaultRowHeight="15"/>
  <cols>
    <col min="1" max="1" width="4.140625" bestFit="1" customWidth="1"/>
    <col min="2" max="2" width="41.140625" bestFit="1" customWidth="1"/>
    <col min="3" max="21" width="17.85546875" customWidth="1"/>
    <col min="22" max="22" width="16.28515625" bestFit="1" customWidth="1"/>
    <col min="23" max="23" width="19.5703125" bestFit="1" customWidth="1"/>
    <col min="24" max="25" width="17" bestFit="1" customWidth="1"/>
  </cols>
  <sheetData>
    <row r="1" spans="1:23">
      <c r="B1" s="4" t="s">
        <v>79</v>
      </c>
      <c r="C1" s="5">
        <v>43248</v>
      </c>
    </row>
    <row r="2" spans="1:23" s="7" customFormat="1" ht="42">
      <c r="A2" s="6" t="s">
        <v>80</v>
      </c>
      <c r="B2" s="6" t="s">
        <v>81</v>
      </c>
      <c r="C2" s="6" t="s">
        <v>82</v>
      </c>
      <c r="D2" s="6" t="s">
        <v>83</v>
      </c>
      <c r="E2" s="6" t="s">
        <v>84</v>
      </c>
      <c r="F2" s="6" t="s">
        <v>85</v>
      </c>
      <c r="G2" s="6" t="s">
        <v>86</v>
      </c>
      <c r="H2" s="6" t="s">
        <v>87</v>
      </c>
      <c r="I2" s="6" t="s">
        <v>88</v>
      </c>
      <c r="J2" s="6" t="s">
        <v>89</v>
      </c>
      <c r="K2" s="6" t="s">
        <v>90</v>
      </c>
      <c r="L2" s="6" t="s">
        <v>91</v>
      </c>
      <c r="M2" s="6" t="s">
        <v>92</v>
      </c>
      <c r="N2" s="6" t="s">
        <v>93</v>
      </c>
      <c r="O2" s="6" t="s">
        <v>94</v>
      </c>
      <c r="P2" s="6" t="s">
        <v>95</v>
      </c>
      <c r="Q2" s="6" t="s">
        <v>96</v>
      </c>
      <c r="R2" s="6" t="s">
        <v>97</v>
      </c>
      <c r="S2" s="6" t="s">
        <v>98</v>
      </c>
      <c r="T2" s="6" t="s">
        <v>99</v>
      </c>
      <c r="U2" s="6" t="s">
        <v>100</v>
      </c>
      <c r="V2" s="6" t="s">
        <v>101</v>
      </c>
      <c r="W2" s="6" t="s">
        <v>102</v>
      </c>
    </row>
    <row r="3" spans="1:23" s="11" customFormat="1" ht="10.5">
      <c r="A3" s="8" t="s">
        <v>103</v>
      </c>
      <c r="B3" s="9" t="s">
        <v>104</v>
      </c>
      <c r="C3" s="10">
        <v>12697316020.700001</v>
      </c>
      <c r="D3" s="10">
        <v>3478677333</v>
      </c>
      <c r="E3" s="10">
        <v>2891770634.71</v>
      </c>
      <c r="F3" s="10">
        <v>3011221144.3400002</v>
      </c>
      <c r="G3" s="10">
        <v>22591377084.529999</v>
      </c>
      <c r="H3" s="10">
        <v>5031758097.3100004</v>
      </c>
      <c r="I3" s="10">
        <v>6380259796.3500004</v>
      </c>
      <c r="J3" s="10">
        <v>588882426.26999998</v>
      </c>
      <c r="K3" s="10">
        <v>288470340.88999999</v>
      </c>
      <c r="L3" s="10">
        <v>8524705326.9799995</v>
      </c>
      <c r="M3" s="10">
        <v>2887062023.8099999</v>
      </c>
      <c r="N3" s="10">
        <v>846942400.84000003</v>
      </c>
      <c r="O3" s="10">
        <v>7337389542.6000004</v>
      </c>
      <c r="P3" s="10">
        <v>1086993051.3699999</v>
      </c>
      <c r="Q3" s="10">
        <v>644968862.75</v>
      </c>
      <c r="R3" s="10">
        <v>1532449221.3099999</v>
      </c>
      <c r="S3" s="10">
        <v>689747134.63</v>
      </c>
      <c r="T3" s="10">
        <v>11231217478.25</v>
      </c>
      <c r="U3" s="10">
        <v>3243044857.6599998</v>
      </c>
      <c r="V3" s="10">
        <v>-112867892.76000001</v>
      </c>
      <c r="W3" s="10">
        <v>115203440778.67</v>
      </c>
    </row>
    <row r="4" spans="1:23" s="7" customFormat="1" ht="10.5">
      <c r="A4" s="12" t="s">
        <v>105</v>
      </c>
      <c r="B4" s="13" t="s">
        <v>106</v>
      </c>
      <c r="C4" s="14">
        <v>17603533.18</v>
      </c>
      <c r="D4" s="14">
        <v>7744.08</v>
      </c>
      <c r="E4" s="14">
        <v>0</v>
      </c>
      <c r="F4" s="14">
        <v>0</v>
      </c>
      <c r="G4" s="14">
        <v>0</v>
      </c>
      <c r="H4" s="14">
        <v>39771.800000000003</v>
      </c>
      <c r="I4" s="14">
        <v>4583.33</v>
      </c>
      <c r="J4" s="14">
        <v>15768.46</v>
      </c>
      <c r="K4" s="14">
        <v>0</v>
      </c>
      <c r="L4" s="14">
        <v>0</v>
      </c>
      <c r="M4" s="14">
        <v>0</v>
      </c>
      <c r="N4" s="14">
        <v>121023.67999999999</v>
      </c>
      <c r="O4" s="14">
        <v>0</v>
      </c>
      <c r="P4" s="14">
        <v>0</v>
      </c>
      <c r="Q4" s="14">
        <v>0</v>
      </c>
      <c r="R4" s="14">
        <v>0</v>
      </c>
      <c r="S4" s="14">
        <v>0</v>
      </c>
      <c r="T4" s="14">
        <v>297213.49</v>
      </c>
      <c r="U4" s="14">
        <v>31753.87</v>
      </c>
      <c r="V4" s="14">
        <v>0</v>
      </c>
      <c r="W4" s="14">
        <v>21720957.25</v>
      </c>
    </row>
    <row r="5" spans="1:23" s="7" customFormat="1" ht="10.5">
      <c r="A5" s="12" t="s">
        <v>107</v>
      </c>
      <c r="B5" s="13" t="s">
        <v>108</v>
      </c>
      <c r="C5" s="14">
        <v>7841384769.3199997</v>
      </c>
      <c r="D5" s="14">
        <v>1617136256.3399999</v>
      </c>
      <c r="E5" s="14">
        <v>2378582358.9499998</v>
      </c>
      <c r="F5" s="14">
        <v>1232286216.97</v>
      </c>
      <c r="G5" s="14">
        <v>15083355617.25</v>
      </c>
      <c r="H5" s="14">
        <v>178312025.88</v>
      </c>
      <c r="I5" s="14">
        <v>3192545533.8099999</v>
      </c>
      <c r="J5" s="14">
        <v>99764341.090000004</v>
      </c>
      <c r="K5" s="14">
        <v>213863608.18000001</v>
      </c>
      <c r="L5" s="14">
        <v>1222340902.3499999</v>
      </c>
      <c r="M5" s="14">
        <v>589881432.74000001</v>
      </c>
      <c r="N5" s="14">
        <v>595125012.25999999</v>
      </c>
      <c r="O5" s="14">
        <v>3003051233.8299999</v>
      </c>
      <c r="P5" s="14">
        <v>882620492.13999999</v>
      </c>
      <c r="Q5" s="14">
        <v>610892474.58000004</v>
      </c>
      <c r="R5" s="14">
        <v>1203140996.02</v>
      </c>
      <c r="S5" s="14">
        <v>188802771.38999999</v>
      </c>
      <c r="T5" s="14">
        <v>7219988284.9399996</v>
      </c>
      <c r="U5" s="14">
        <v>1350112093.4300001</v>
      </c>
      <c r="V5" s="14">
        <v>-105870907.92</v>
      </c>
      <c r="W5" s="14">
        <v>68796751337.580002</v>
      </c>
    </row>
    <row r="6" spans="1:23" s="7" customFormat="1" ht="10.5">
      <c r="A6" s="12" t="s">
        <v>109</v>
      </c>
      <c r="B6" s="13" t="s">
        <v>110</v>
      </c>
      <c r="C6" s="14">
        <v>7827165994.0600004</v>
      </c>
      <c r="D6" s="14">
        <v>1557881214.3599999</v>
      </c>
      <c r="E6" s="14">
        <v>2249496254.9899998</v>
      </c>
      <c r="F6" s="14">
        <v>1176873075.1700001</v>
      </c>
      <c r="G6" s="14">
        <v>15022751913.07</v>
      </c>
      <c r="H6" s="14">
        <v>158675226.69999999</v>
      </c>
      <c r="I6" s="14">
        <v>3148004458.79</v>
      </c>
      <c r="J6" s="14">
        <v>84330793.170000002</v>
      </c>
      <c r="K6" s="14">
        <v>200461243.31</v>
      </c>
      <c r="L6" s="14">
        <v>1205077717.28</v>
      </c>
      <c r="M6" s="14">
        <v>514958446.13999999</v>
      </c>
      <c r="N6" s="14">
        <v>540326904.55999994</v>
      </c>
      <c r="O6" s="14">
        <v>2912843959.8200002</v>
      </c>
      <c r="P6" s="14">
        <v>828588573.07000005</v>
      </c>
      <c r="Q6" s="14">
        <v>606907951.94000006</v>
      </c>
      <c r="R6" s="14">
        <v>1110014600.4200001</v>
      </c>
      <c r="S6" s="14">
        <v>146184126.91</v>
      </c>
      <c r="T6" s="14">
        <v>7190830162.9700003</v>
      </c>
      <c r="U6" s="14">
        <v>1342456609.55</v>
      </c>
      <c r="V6" s="14">
        <v>-105870907.92</v>
      </c>
      <c r="W6" s="14">
        <v>65719763054.470001</v>
      </c>
    </row>
    <row r="7" spans="1:23" s="7" customFormat="1" ht="10.5">
      <c r="A7" s="12" t="s">
        <v>111</v>
      </c>
      <c r="B7" s="13" t="s">
        <v>78</v>
      </c>
      <c r="C7" s="14">
        <v>7618122646.7700005</v>
      </c>
      <c r="D7" s="14">
        <v>1414646874.6400001</v>
      </c>
      <c r="E7" s="14">
        <v>2028783985.95</v>
      </c>
      <c r="F7" s="14">
        <v>1024223474.0700001</v>
      </c>
      <c r="G7" s="14">
        <v>14907914437.6</v>
      </c>
      <c r="H7" s="14">
        <v>17226213.48</v>
      </c>
      <c r="I7" s="14">
        <v>2926797504.79</v>
      </c>
      <c r="J7" s="14">
        <v>46704858.899999999</v>
      </c>
      <c r="K7" s="14">
        <v>127199222.14</v>
      </c>
      <c r="L7" s="14">
        <v>1187764144.8</v>
      </c>
      <c r="M7" s="14">
        <v>406680081.80000001</v>
      </c>
      <c r="N7" s="14">
        <v>412535391.24000001</v>
      </c>
      <c r="O7" s="14">
        <v>2672196544.8699999</v>
      </c>
      <c r="P7" s="14">
        <v>738865057.76999998</v>
      </c>
      <c r="Q7" s="14">
        <v>475102670.95999998</v>
      </c>
      <c r="R7" s="14">
        <v>973244711.44000006</v>
      </c>
      <c r="S7" s="14">
        <v>39970153.899999999</v>
      </c>
      <c r="T7" s="14">
        <v>7102592101.25</v>
      </c>
      <c r="U7" s="14">
        <v>1256939232</v>
      </c>
      <c r="V7" s="14">
        <v>0</v>
      </c>
      <c r="W7" s="14">
        <v>45413430619.449997</v>
      </c>
    </row>
    <row r="8" spans="1:23" s="7" customFormat="1" ht="21">
      <c r="A8" s="12" t="s">
        <v>112</v>
      </c>
      <c r="B8" s="13" t="s">
        <v>113</v>
      </c>
      <c r="C8" s="14">
        <v>177775897.03999999</v>
      </c>
      <c r="D8" s="14">
        <v>141730149.5</v>
      </c>
      <c r="E8" s="14">
        <v>217788839.78999999</v>
      </c>
      <c r="F8" s="14">
        <v>147236995.15000001</v>
      </c>
      <c r="G8" s="14">
        <v>114030441.31</v>
      </c>
      <c r="H8" s="14">
        <v>139591627.12</v>
      </c>
      <c r="I8" s="14">
        <v>219917819.27000001</v>
      </c>
      <c r="J8" s="14">
        <v>37261706.770000003</v>
      </c>
      <c r="K8" s="14">
        <v>72736252.799999997</v>
      </c>
      <c r="L8" s="14">
        <v>16743787.939999999</v>
      </c>
      <c r="M8" s="14">
        <v>106346085.53</v>
      </c>
      <c r="N8" s="14">
        <v>125896306.36</v>
      </c>
      <c r="O8" s="14">
        <v>237421498.06999999</v>
      </c>
      <c r="P8" s="14">
        <v>89388701.359999999</v>
      </c>
      <c r="Q8" s="14">
        <v>130924282.84</v>
      </c>
      <c r="R8" s="14">
        <v>136408462.49000001</v>
      </c>
      <c r="S8" s="14">
        <v>105911939.45999999</v>
      </c>
      <c r="T8" s="14">
        <v>86024893.569999993</v>
      </c>
      <c r="U8" s="14">
        <v>67437013.5</v>
      </c>
      <c r="V8" s="14">
        <v>-105850882.03</v>
      </c>
      <c r="W8" s="14">
        <v>19806362666.669998</v>
      </c>
    </row>
    <row r="9" spans="1:23" s="7" customFormat="1" ht="10.5">
      <c r="A9" s="12" t="s">
        <v>114</v>
      </c>
      <c r="B9" s="13" t="s">
        <v>115</v>
      </c>
      <c r="C9" s="14">
        <v>29519643.989999998</v>
      </c>
      <c r="D9" s="14">
        <v>1366652.63</v>
      </c>
      <c r="E9" s="14">
        <v>628263.34</v>
      </c>
      <c r="F9" s="14">
        <v>1409768.43</v>
      </c>
      <c r="G9" s="14">
        <v>335053.15999999997</v>
      </c>
      <c r="H9" s="14">
        <v>1538340.22</v>
      </c>
      <c r="I9" s="14">
        <v>254860.87</v>
      </c>
      <c r="J9" s="14">
        <v>235182.24</v>
      </c>
      <c r="K9" s="14">
        <v>397933.89</v>
      </c>
      <c r="L9" s="14">
        <v>390388.25</v>
      </c>
      <c r="M9" s="14">
        <v>1239395.79</v>
      </c>
      <c r="N9" s="14">
        <v>1250298.51</v>
      </c>
      <c r="O9" s="14">
        <v>1780905.2</v>
      </c>
      <c r="P9" s="14">
        <v>290100.58</v>
      </c>
      <c r="Q9" s="14">
        <v>118096.69</v>
      </c>
      <c r="R9" s="14">
        <v>49189.33</v>
      </c>
      <c r="S9" s="14">
        <v>38044.81</v>
      </c>
      <c r="T9" s="14">
        <v>1613966.08</v>
      </c>
      <c r="U9" s="14">
        <v>896701.05</v>
      </c>
      <c r="V9" s="14">
        <v>-4270.41</v>
      </c>
      <c r="W9" s="14">
        <v>359446907.5</v>
      </c>
    </row>
    <row r="10" spans="1:23" s="7" customFormat="1" ht="10.5">
      <c r="A10" s="12" t="s">
        <v>116</v>
      </c>
      <c r="B10" s="13" t="s">
        <v>117</v>
      </c>
      <c r="C10" s="14">
        <v>102708.81</v>
      </c>
      <c r="D10" s="14">
        <v>0</v>
      </c>
      <c r="E10" s="14">
        <v>31245.27</v>
      </c>
      <c r="F10" s="14">
        <v>62453.01</v>
      </c>
      <c r="G10" s="14">
        <v>58875</v>
      </c>
      <c r="H10" s="14">
        <v>3917.57</v>
      </c>
      <c r="I10" s="14">
        <v>120311.41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114380.9</v>
      </c>
      <c r="P10" s="14">
        <v>0</v>
      </c>
      <c r="Q10" s="14">
        <v>11852.54</v>
      </c>
      <c r="R10" s="14">
        <v>62428.02</v>
      </c>
      <c r="S10" s="14">
        <v>0</v>
      </c>
      <c r="T10" s="14">
        <v>0</v>
      </c>
      <c r="U10" s="14">
        <v>765.34</v>
      </c>
      <c r="V10" s="14">
        <v>0</v>
      </c>
      <c r="W10" s="14">
        <v>51422844.280000001</v>
      </c>
    </row>
    <row r="11" spans="1:23" s="7" customFormat="1" ht="10.5">
      <c r="A11" s="12" t="s">
        <v>118</v>
      </c>
      <c r="B11" s="13" t="s">
        <v>119</v>
      </c>
      <c r="C11" s="14">
        <v>1645097.45</v>
      </c>
      <c r="D11" s="14">
        <v>137537.59</v>
      </c>
      <c r="E11" s="14">
        <v>2263920.6400000001</v>
      </c>
      <c r="F11" s="14">
        <v>3940384.51</v>
      </c>
      <c r="G11" s="14">
        <v>413106</v>
      </c>
      <c r="H11" s="14">
        <v>315128.31</v>
      </c>
      <c r="I11" s="14">
        <v>913962.45</v>
      </c>
      <c r="J11" s="14">
        <v>129045.26</v>
      </c>
      <c r="K11" s="14">
        <v>127834.48</v>
      </c>
      <c r="L11" s="14">
        <v>179396.29</v>
      </c>
      <c r="M11" s="14">
        <v>692883.02</v>
      </c>
      <c r="N11" s="14">
        <v>644908.44999999995</v>
      </c>
      <c r="O11" s="14">
        <v>1330630.78</v>
      </c>
      <c r="P11" s="14">
        <v>44713.36</v>
      </c>
      <c r="Q11" s="14">
        <v>751048.91</v>
      </c>
      <c r="R11" s="14">
        <v>249809.14</v>
      </c>
      <c r="S11" s="14">
        <v>263988.74</v>
      </c>
      <c r="T11" s="14">
        <v>599202.06999999995</v>
      </c>
      <c r="U11" s="14">
        <v>17182897.66</v>
      </c>
      <c r="V11" s="14">
        <v>-15755.48</v>
      </c>
      <c r="W11" s="14">
        <v>89100016.569999993</v>
      </c>
    </row>
    <row r="12" spans="1:23" s="7" customFormat="1" ht="10.5">
      <c r="A12" s="12" t="s">
        <v>120</v>
      </c>
      <c r="B12" s="13" t="s">
        <v>121</v>
      </c>
      <c r="C12" s="14">
        <v>14218775.26</v>
      </c>
      <c r="D12" s="14">
        <v>59255041.979999997</v>
      </c>
      <c r="E12" s="14">
        <v>129086103.95999999</v>
      </c>
      <c r="F12" s="14">
        <v>55413141.799999997</v>
      </c>
      <c r="G12" s="14">
        <v>60603704.18</v>
      </c>
      <c r="H12" s="14">
        <v>19636799.18</v>
      </c>
      <c r="I12" s="14">
        <v>44541075.020000003</v>
      </c>
      <c r="J12" s="14">
        <v>15433547.92</v>
      </c>
      <c r="K12" s="14">
        <v>13402364.869999999</v>
      </c>
      <c r="L12" s="14">
        <v>17263185.07</v>
      </c>
      <c r="M12" s="14">
        <v>74922986.599999994</v>
      </c>
      <c r="N12" s="14">
        <v>54798107.700000003</v>
      </c>
      <c r="O12" s="14">
        <v>90207274.010000005</v>
      </c>
      <c r="P12" s="14">
        <v>54031919.07</v>
      </c>
      <c r="Q12" s="14">
        <v>3984522.64</v>
      </c>
      <c r="R12" s="14">
        <v>93126395.599999994</v>
      </c>
      <c r="S12" s="14">
        <v>42618644.479999997</v>
      </c>
      <c r="T12" s="14">
        <v>29158121.969999999</v>
      </c>
      <c r="U12" s="14">
        <v>7655483.8799999999</v>
      </c>
      <c r="V12" s="14">
        <v>0</v>
      </c>
      <c r="W12" s="14">
        <v>3076988283.1100001</v>
      </c>
    </row>
    <row r="13" spans="1:23" s="7" customFormat="1" ht="21">
      <c r="A13" s="12" t="s">
        <v>122</v>
      </c>
      <c r="B13" s="13" t="s">
        <v>123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15">
        <v>0</v>
      </c>
      <c r="Q13" s="15">
        <v>0</v>
      </c>
      <c r="R13" s="15">
        <v>0</v>
      </c>
      <c r="S13" s="15">
        <v>0</v>
      </c>
      <c r="T13" s="15">
        <v>0</v>
      </c>
      <c r="U13" s="15">
        <v>0</v>
      </c>
      <c r="V13" s="15">
        <v>0</v>
      </c>
      <c r="W13" s="15">
        <v>0</v>
      </c>
    </row>
    <row r="14" spans="1:23" s="7" customFormat="1" ht="10.5">
      <c r="A14" s="12" t="s">
        <v>124</v>
      </c>
      <c r="B14" s="13" t="s">
        <v>125</v>
      </c>
      <c r="C14" s="14">
        <v>24742007.84</v>
      </c>
      <c r="D14" s="14">
        <v>2304618.0499999998</v>
      </c>
      <c r="E14" s="14">
        <v>15628095.210000001</v>
      </c>
      <c r="F14" s="14">
        <v>5817056.29</v>
      </c>
      <c r="G14" s="14">
        <v>12349803.92</v>
      </c>
      <c r="H14" s="14">
        <v>30666994.420000002</v>
      </c>
      <c r="I14" s="14">
        <v>14094568.210000001</v>
      </c>
      <c r="J14" s="14">
        <v>3519220.26</v>
      </c>
      <c r="K14" s="14">
        <v>8410620.0099999998</v>
      </c>
      <c r="L14" s="14">
        <v>25843845.969999999</v>
      </c>
      <c r="M14" s="14">
        <v>3764804.74</v>
      </c>
      <c r="N14" s="14">
        <v>2829694.49</v>
      </c>
      <c r="O14" s="14">
        <v>11736926.16</v>
      </c>
      <c r="P14" s="14">
        <v>13437162.880000001</v>
      </c>
      <c r="Q14" s="14">
        <v>2489836.8199999998</v>
      </c>
      <c r="R14" s="14">
        <v>2830419.29</v>
      </c>
      <c r="S14" s="14">
        <v>5432998.7199999997</v>
      </c>
      <c r="T14" s="14">
        <v>6440528.9000000004</v>
      </c>
      <c r="U14" s="14">
        <v>4247729.59</v>
      </c>
      <c r="V14" s="14">
        <v>-6996984.8399999999</v>
      </c>
      <c r="W14" s="14">
        <v>318610450.67000002</v>
      </c>
    </row>
    <row r="15" spans="1:23" s="7" customFormat="1" ht="10.5">
      <c r="A15" s="12" t="s">
        <v>126</v>
      </c>
      <c r="B15" s="13" t="s">
        <v>127</v>
      </c>
      <c r="C15" s="14">
        <v>4689095026.0600004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4">
        <v>0</v>
      </c>
      <c r="T15" s="14">
        <v>0</v>
      </c>
      <c r="U15" s="14">
        <v>0</v>
      </c>
      <c r="V15" s="14">
        <v>0</v>
      </c>
      <c r="W15" s="14">
        <v>4689095026.0600004</v>
      </c>
    </row>
    <row r="16" spans="1:23" s="7" customFormat="1" ht="10.5">
      <c r="A16" s="12" t="s">
        <v>109</v>
      </c>
      <c r="B16" s="13" t="s">
        <v>128</v>
      </c>
      <c r="C16" s="14">
        <v>4689095026.0600004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  <c r="S16" s="14">
        <v>0</v>
      </c>
      <c r="T16" s="14">
        <v>0</v>
      </c>
      <c r="U16" s="14">
        <v>0</v>
      </c>
      <c r="V16" s="14">
        <v>0</v>
      </c>
      <c r="W16" s="14">
        <v>4689095026.0600004</v>
      </c>
    </row>
    <row r="17" spans="1:23" s="7" customFormat="1" ht="10.5">
      <c r="A17" s="12" t="s">
        <v>120</v>
      </c>
      <c r="B17" s="13" t="s">
        <v>129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  <c r="U17" s="14">
        <v>0</v>
      </c>
      <c r="V17" s="14">
        <v>0</v>
      </c>
      <c r="W17" s="14">
        <v>0</v>
      </c>
    </row>
    <row r="18" spans="1:23" s="7" customFormat="1" ht="10.5">
      <c r="A18" s="12" t="s">
        <v>122</v>
      </c>
      <c r="B18" s="13" t="s">
        <v>130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4">
        <v>0</v>
      </c>
      <c r="Q18" s="14">
        <v>0</v>
      </c>
      <c r="R18" s="14">
        <v>0</v>
      </c>
      <c r="S18" s="14">
        <v>0</v>
      </c>
      <c r="T18" s="14">
        <v>0</v>
      </c>
      <c r="U18" s="14">
        <v>0</v>
      </c>
      <c r="V18" s="14">
        <v>0</v>
      </c>
      <c r="W18" s="14">
        <v>0</v>
      </c>
    </row>
    <row r="19" spans="1:23" s="7" customFormat="1" ht="10.5">
      <c r="A19" s="12" t="s">
        <v>131</v>
      </c>
      <c r="B19" s="13" t="s">
        <v>132</v>
      </c>
      <c r="C19" s="14">
        <v>124490684.3</v>
      </c>
      <c r="D19" s="14">
        <v>1859228714.53</v>
      </c>
      <c r="E19" s="14">
        <v>497560180.55000001</v>
      </c>
      <c r="F19" s="14">
        <v>1773117871.0799999</v>
      </c>
      <c r="G19" s="14">
        <v>7495671663.3599997</v>
      </c>
      <c r="H19" s="14">
        <v>4822739305.21</v>
      </c>
      <c r="I19" s="14">
        <v>3173615111</v>
      </c>
      <c r="J19" s="14">
        <v>485583096.45999998</v>
      </c>
      <c r="K19" s="14">
        <v>66196112.700000003</v>
      </c>
      <c r="L19" s="14">
        <v>7276520578.6599998</v>
      </c>
      <c r="M19" s="14">
        <v>2293415786.3299999</v>
      </c>
      <c r="N19" s="14">
        <v>248866670.41</v>
      </c>
      <c r="O19" s="14">
        <v>4322601382.6099997</v>
      </c>
      <c r="P19" s="14">
        <v>190935396.34999999</v>
      </c>
      <c r="Q19" s="14">
        <v>31586551.350000001</v>
      </c>
      <c r="R19" s="14">
        <v>326477806</v>
      </c>
      <c r="S19" s="14">
        <v>495511364.51999998</v>
      </c>
      <c r="T19" s="14">
        <v>4004491450.9200001</v>
      </c>
      <c r="U19" s="14">
        <v>1888653280.77</v>
      </c>
      <c r="V19" s="14">
        <v>0</v>
      </c>
      <c r="W19" s="14">
        <v>41377263007.110001</v>
      </c>
    </row>
    <row r="20" spans="1:23" s="7" customFormat="1" ht="10.5">
      <c r="A20" s="12" t="s">
        <v>133</v>
      </c>
      <c r="B20" s="13" t="s">
        <v>134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4">
        <v>0</v>
      </c>
      <c r="T20" s="14">
        <v>0</v>
      </c>
      <c r="U20" s="14">
        <v>0</v>
      </c>
      <c r="V20" s="14">
        <v>0</v>
      </c>
      <c r="W20" s="14">
        <v>0</v>
      </c>
    </row>
    <row r="21" spans="1:23" s="11" customFormat="1" ht="10.5">
      <c r="A21" s="8" t="s">
        <v>135</v>
      </c>
      <c r="B21" s="9" t="s">
        <v>136</v>
      </c>
      <c r="C21" s="10">
        <v>170184185.63999999</v>
      </c>
      <c r="D21" s="10">
        <v>13971805.41</v>
      </c>
      <c r="E21" s="10">
        <v>29515902</v>
      </c>
      <c r="F21" s="10">
        <v>19559502.43</v>
      </c>
      <c r="G21" s="10">
        <v>34817450.399999999</v>
      </c>
      <c r="H21" s="10">
        <v>28109245.170000002</v>
      </c>
      <c r="I21" s="10">
        <v>27513054.600000001</v>
      </c>
      <c r="J21" s="10">
        <v>29512846.390000001</v>
      </c>
      <c r="K21" s="10">
        <v>7845714.9299999997</v>
      </c>
      <c r="L21" s="10">
        <v>47275460.890000001</v>
      </c>
      <c r="M21" s="10">
        <v>28231221.260000002</v>
      </c>
      <c r="N21" s="10">
        <v>16458611.59</v>
      </c>
      <c r="O21" s="10">
        <v>19995130.120000001</v>
      </c>
      <c r="P21" s="10">
        <v>15352376.27</v>
      </c>
      <c r="Q21" s="10">
        <v>3778155.45</v>
      </c>
      <c r="R21" s="10">
        <v>8643822.2300000004</v>
      </c>
      <c r="S21" s="10">
        <v>12862843.92</v>
      </c>
      <c r="T21" s="10">
        <v>34157517.119999997</v>
      </c>
      <c r="U21" s="10">
        <v>9650439.8699999992</v>
      </c>
      <c r="V21" s="10">
        <v>-276610162.72000003</v>
      </c>
      <c r="W21" s="10">
        <v>1173447395.8</v>
      </c>
    </row>
    <row r="22" spans="1:23" s="7" customFormat="1" ht="10.5">
      <c r="A22" s="12" t="s">
        <v>105</v>
      </c>
      <c r="B22" s="13" t="s">
        <v>137</v>
      </c>
      <c r="C22" s="14">
        <v>867423.16</v>
      </c>
      <c r="D22" s="14">
        <v>127655.18</v>
      </c>
      <c r="E22" s="14">
        <v>0</v>
      </c>
      <c r="F22" s="14">
        <v>164427.65</v>
      </c>
      <c r="G22" s="14">
        <v>327766.31</v>
      </c>
      <c r="H22" s="14">
        <v>0</v>
      </c>
      <c r="I22" s="14">
        <v>0</v>
      </c>
      <c r="J22" s="14">
        <v>0</v>
      </c>
      <c r="K22" s="14">
        <v>0</v>
      </c>
      <c r="L22" s="14">
        <v>145576.24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80905.37</v>
      </c>
      <c r="T22" s="14">
        <v>115768.8</v>
      </c>
      <c r="U22" s="14">
        <v>137433.07999999999</v>
      </c>
      <c r="V22" s="14">
        <v>0</v>
      </c>
      <c r="W22" s="14">
        <v>20944535.829999998</v>
      </c>
    </row>
    <row r="23" spans="1:23" s="7" customFormat="1" ht="10.5">
      <c r="A23" s="12" t="s">
        <v>109</v>
      </c>
      <c r="B23" s="13" t="s">
        <v>138</v>
      </c>
      <c r="C23" s="14">
        <v>867423.16</v>
      </c>
      <c r="D23" s="14">
        <v>127655.18</v>
      </c>
      <c r="E23" s="14">
        <v>0</v>
      </c>
      <c r="F23" s="14">
        <v>164427.65</v>
      </c>
      <c r="G23" s="14">
        <v>327766.31</v>
      </c>
      <c r="H23" s="14">
        <v>0</v>
      </c>
      <c r="I23" s="14">
        <v>0</v>
      </c>
      <c r="J23" s="14">
        <v>0</v>
      </c>
      <c r="K23" s="14">
        <v>0</v>
      </c>
      <c r="L23" s="14">
        <v>145576.24</v>
      </c>
      <c r="M23" s="14">
        <v>0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80905.37</v>
      </c>
      <c r="T23" s="14">
        <v>115768.8</v>
      </c>
      <c r="U23" s="14">
        <v>137433.07999999999</v>
      </c>
      <c r="V23" s="14">
        <v>0</v>
      </c>
      <c r="W23" s="14">
        <v>20693136.059999999</v>
      </c>
    </row>
    <row r="24" spans="1:23" s="7" customFormat="1" ht="10.5">
      <c r="A24" s="12" t="s">
        <v>120</v>
      </c>
      <c r="B24" s="13" t="s">
        <v>139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  <c r="V24" s="14">
        <v>0</v>
      </c>
      <c r="W24" s="14">
        <v>0</v>
      </c>
    </row>
    <row r="25" spans="1:23" s="7" customFormat="1" ht="10.5">
      <c r="A25" s="12" t="s">
        <v>122</v>
      </c>
      <c r="B25" s="13" t="s">
        <v>140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4">
        <v>0</v>
      </c>
      <c r="T25" s="14">
        <v>0</v>
      </c>
      <c r="U25" s="14">
        <v>0</v>
      </c>
      <c r="V25" s="14">
        <v>0</v>
      </c>
      <c r="W25" s="14">
        <v>0</v>
      </c>
    </row>
    <row r="26" spans="1:23" s="7" customFormat="1" ht="10.5">
      <c r="A26" s="12" t="s">
        <v>141</v>
      </c>
      <c r="B26" s="13" t="s">
        <v>142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14">
        <v>0</v>
      </c>
      <c r="T26" s="14">
        <v>0</v>
      </c>
      <c r="U26" s="14">
        <v>0</v>
      </c>
      <c r="V26" s="14">
        <v>0</v>
      </c>
      <c r="W26" s="14">
        <v>251399.77</v>
      </c>
    </row>
    <row r="27" spans="1:23" s="7" customFormat="1" ht="10.5">
      <c r="A27" s="12" t="s">
        <v>107</v>
      </c>
      <c r="B27" s="13" t="s">
        <v>143</v>
      </c>
      <c r="C27" s="14">
        <v>140841260.81999999</v>
      </c>
      <c r="D27" s="14">
        <v>9914526.3699999992</v>
      </c>
      <c r="E27" s="14">
        <v>18060224.370000001</v>
      </c>
      <c r="F27" s="14">
        <v>16133064.1</v>
      </c>
      <c r="G27" s="14">
        <v>27640173.600000001</v>
      </c>
      <c r="H27" s="14">
        <v>24056334.350000001</v>
      </c>
      <c r="I27" s="14">
        <v>22369819.739999998</v>
      </c>
      <c r="J27" s="14">
        <v>28066170.25</v>
      </c>
      <c r="K27" s="14">
        <v>6954481.2000000002</v>
      </c>
      <c r="L27" s="14">
        <v>44212782.640000001</v>
      </c>
      <c r="M27" s="14">
        <v>18718778.23</v>
      </c>
      <c r="N27" s="14">
        <v>7107799.4299999997</v>
      </c>
      <c r="O27" s="14">
        <v>10808448.08</v>
      </c>
      <c r="P27" s="14">
        <v>12670376.949999999</v>
      </c>
      <c r="Q27" s="14">
        <v>3280130.13</v>
      </c>
      <c r="R27" s="14">
        <v>2786695.21</v>
      </c>
      <c r="S27" s="14">
        <v>11408299.1</v>
      </c>
      <c r="T27" s="14">
        <v>31275729.079999998</v>
      </c>
      <c r="U27" s="14">
        <v>8280033.0199999996</v>
      </c>
      <c r="V27" s="14">
        <v>-272963514.74000001</v>
      </c>
      <c r="W27" s="14">
        <v>744284849.28999996</v>
      </c>
    </row>
    <row r="28" spans="1:23" s="7" customFormat="1" ht="10.5">
      <c r="A28" s="12" t="s">
        <v>109</v>
      </c>
      <c r="B28" s="13" t="s">
        <v>144</v>
      </c>
      <c r="C28" s="14">
        <v>111751.89</v>
      </c>
      <c r="D28" s="14">
        <v>1463047.6</v>
      </c>
      <c r="E28" s="14">
        <v>50506.879999999997</v>
      </c>
      <c r="F28" s="14">
        <v>5563.32</v>
      </c>
      <c r="G28" s="14">
        <v>62.12</v>
      </c>
      <c r="H28" s="14">
        <v>571.92999999999995</v>
      </c>
      <c r="I28" s="14">
        <v>2670.99</v>
      </c>
      <c r="J28" s="14">
        <v>0</v>
      </c>
      <c r="K28" s="14">
        <v>849.07</v>
      </c>
      <c r="L28" s="14">
        <v>374879.59</v>
      </c>
      <c r="M28" s="14">
        <v>73.8</v>
      </c>
      <c r="N28" s="14">
        <v>69349.679999999993</v>
      </c>
      <c r="O28" s="14">
        <v>70607.09</v>
      </c>
      <c r="P28" s="14">
        <v>0</v>
      </c>
      <c r="Q28" s="14">
        <v>4109.67</v>
      </c>
      <c r="R28" s="14">
        <v>285909.15000000002</v>
      </c>
      <c r="S28" s="14">
        <v>16.59</v>
      </c>
      <c r="T28" s="14">
        <v>4554.74</v>
      </c>
      <c r="U28" s="14">
        <v>183678.43</v>
      </c>
      <c r="V28" s="14">
        <v>-4427796.34</v>
      </c>
      <c r="W28" s="14">
        <v>79538654.739999995</v>
      </c>
    </row>
    <row r="29" spans="1:23" s="7" customFormat="1" ht="10.5">
      <c r="A29" s="12" t="s">
        <v>120</v>
      </c>
      <c r="B29" s="13" t="s">
        <v>145</v>
      </c>
      <c r="C29" s="14">
        <v>52560155.189999998</v>
      </c>
      <c r="D29" s="14">
        <v>0</v>
      </c>
      <c r="E29" s="14">
        <v>2701.63</v>
      </c>
      <c r="F29" s="14">
        <v>9024.17</v>
      </c>
      <c r="G29" s="14">
        <v>16573.490000000002</v>
      </c>
      <c r="H29" s="14">
        <v>0</v>
      </c>
      <c r="I29" s="14">
        <v>3701.58</v>
      </c>
      <c r="J29" s="14">
        <v>222.33</v>
      </c>
      <c r="K29" s="14">
        <v>3960.15</v>
      </c>
      <c r="L29" s="14">
        <v>0</v>
      </c>
      <c r="M29" s="14">
        <v>29496.81</v>
      </c>
      <c r="N29" s="14">
        <v>4280.6499999999996</v>
      </c>
      <c r="O29" s="14">
        <v>15491.31</v>
      </c>
      <c r="P29" s="14">
        <v>4956.16</v>
      </c>
      <c r="Q29" s="14">
        <v>3622.63</v>
      </c>
      <c r="R29" s="14">
        <v>34608.089999999997</v>
      </c>
      <c r="S29" s="14">
        <v>0</v>
      </c>
      <c r="T29" s="14">
        <v>7149.65</v>
      </c>
      <c r="U29" s="14">
        <v>0</v>
      </c>
      <c r="V29" s="14">
        <v>-996513.05</v>
      </c>
      <c r="W29" s="14">
        <v>54021993.990000002</v>
      </c>
    </row>
    <row r="30" spans="1:23" s="7" customFormat="1" ht="21">
      <c r="A30" s="12" t="s">
        <v>122</v>
      </c>
      <c r="B30" s="13" t="s">
        <v>146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129.99</v>
      </c>
      <c r="O30" s="14">
        <v>0</v>
      </c>
      <c r="P30" s="14">
        <v>0</v>
      </c>
      <c r="Q30" s="14">
        <v>0</v>
      </c>
      <c r="R30" s="14">
        <v>0</v>
      </c>
      <c r="S30" s="14">
        <v>0</v>
      </c>
      <c r="T30" s="14">
        <v>0</v>
      </c>
      <c r="U30" s="14">
        <v>0</v>
      </c>
      <c r="V30" s="14">
        <v>-75</v>
      </c>
      <c r="W30" s="14">
        <v>121462.56</v>
      </c>
    </row>
    <row r="31" spans="1:23" s="7" customFormat="1" ht="10.5">
      <c r="A31" s="12" t="s">
        <v>141</v>
      </c>
      <c r="B31" s="13" t="s">
        <v>147</v>
      </c>
      <c r="C31" s="14">
        <v>88169353.739999995</v>
      </c>
      <c r="D31" s="14">
        <v>8451478.7699999996</v>
      </c>
      <c r="E31" s="14">
        <v>18007015.859999999</v>
      </c>
      <c r="F31" s="14">
        <v>16118476.609999999</v>
      </c>
      <c r="G31" s="14">
        <v>27623537.989999998</v>
      </c>
      <c r="H31" s="14">
        <v>24055762.420000002</v>
      </c>
      <c r="I31" s="14">
        <v>22363447.170000002</v>
      </c>
      <c r="J31" s="14">
        <v>28065947.920000002</v>
      </c>
      <c r="K31" s="14">
        <v>6949671.9800000004</v>
      </c>
      <c r="L31" s="14">
        <v>43837903.049999997</v>
      </c>
      <c r="M31" s="14">
        <v>18689207.620000001</v>
      </c>
      <c r="N31" s="14">
        <v>7034039.1100000003</v>
      </c>
      <c r="O31" s="14">
        <v>10722349.68</v>
      </c>
      <c r="P31" s="14">
        <v>12665420.789999999</v>
      </c>
      <c r="Q31" s="14">
        <v>3272397.83</v>
      </c>
      <c r="R31" s="14">
        <v>2466177.9700000002</v>
      </c>
      <c r="S31" s="14">
        <v>11408282.51</v>
      </c>
      <c r="T31" s="14">
        <v>31264024.690000001</v>
      </c>
      <c r="U31" s="14">
        <v>8096354.5899999999</v>
      </c>
      <c r="V31" s="14">
        <v>-267539130.34999999</v>
      </c>
      <c r="W31" s="14">
        <v>610594883.79999995</v>
      </c>
    </row>
    <row r="32" spans="1:23" s="7" customFormat="1" ht="21">
      <c r="A32" s="12" t="s">
        <v>148</v>
      </c>
      <c r="B32" s="13" t="s">
        <v>149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  <c r="S32" s="14">
        <v>0</v>
      </c>
      <c r="T32" s="14">
        <v>0</v>
      </c>
      <c r="U32" s="14">
        <v>0</v>
      </c>
      <c r="V32" s="14">
        <v>0</v>
      </c>
      <c r="W32" s="14">
        <v>7854.2</v>
      </c>
    </row>
    <row r="33" spans="1:24" s="7" customFormat="1" ht="10.5">
      <c r="A33" s="12" t="s">
        <v>124</v>
      </c>
      <c r="B33" s="13" t="s">
        <v>150</v>
      </c>
      <c r="C33" s="14">
        <v>15275618.560000001</v>
      </c>
      <c r="D33" s="14">
        <v>3910197.55</v>
      </c>
      <c r="E33" s="14">
        <v>11455677.630000001</v>
      </c>
      <c r="F33" s="14">
        <v>3262010.68</v>
      </c>
      <c r="G33" s="14">
        <v>6849510.4900000002</v>
      </c>
      <c r="H33" s="14">
        <v>4052910.82</v>
      </c>
      <c r="I33" s="14">
        <v>5143234.8600000003</v>
      </c>
      <c r="J33" s="14">
        <v>1446676.14</v>
      </c>
      <c r="K33" s="14">
        <v>890234.26</v>
      </c>
      <c r="L33" s="14">
        <v>2902756.13</v>
      </c>
      <c r="M33" s="14">
        <v>9453670.6899999995</v>
      </c>
      <c r="N33" s="14">
        <v>9344358.7599999998</v>
      </c>
      <c r="O33" s="14">
        <v>9164076.2599999998</v>
      </c>
      <c r="P33" s="14">
        <v>2657942.98</v>
      </c>
      <c r="Q33" s="14">
        <v>346258.18</v>
      </c>
      <c r="R33" s="14">
        <v>5857127.0199999996</v>
      </c>
      <c r="S33" s="14">
        <v>1347329.73</v>
      </c>
      <c r="T33" s="14">
        <v>2731950.28</v>
      </c>
      <c r="U33" s="14">
        <v>1232973.77</v>
      </c>
      <c r="V33" s="14">
        <v>-3646647.98</v>
      </c>
      <c r="W33" s="14">
        <v>389607336.02999997</v>
      </c>
    </row>
    <row r="34" spans="1:24" s="7" customFormat="1" ht="10.5">
      <c r="A34" s="12" t="s">
        <v>109</v>
      </c>
      <c r="B34" s="13" t="s">
        <v>151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14">
        <v>1276</v>
      </c>
      <c r="R34" s="14">
        <v>0</v>
      </c>
      <c r="S34" s="14">
        <v>0</v>
      </c>
      <c r="T34" s="14">
        <v>0</v>
      </c>
      <c r="U34" s="14">
        <v>0</v>
      </c>
      <c r="V34" s="14">
        <v>0</v>
      </c>
      <c r="W34" s="14">
        <v>906186.95</v>
      </c>
    </row>
    <row r="35" spans="1:24" s="7" customFormat="1" ht="10.5">
      <c r="A35" s="12" t="s">
        <v>120</v>
      </c>
      <c r="B35" s="13" t="s">
        <v>152</v>
      </c>
      <c r="C35" s="14">
        <v>4707712.96</v>
      </c>
      <c r="D35" s="14">
        <v>30056.32</v>
      </c>
      <c r="E35" s="14">
        <v>15896.51</v>
      </c>
      <c r="F35" s="14">
        <v>58374.34</v>
      </c>
      <c r="G35" s="14">
        <v>102025.72</v>
      </c>
      <c r="H35" s="14">
        <v>189093.02</v>
      </c>
      <c r="I35" s="14">
        <v>123883.23</v>
      </c>
      <c r="J35" s="14">
        <v>267823.71999999997</v>
      </c>
      <c r="K35" s="14">
        <v>7683.59</v>
      </c>
      <c r="L35" s="14">
        <v>176178.33</v>
      </c>
      <c r="M35" s="14">
        <v>25916.82</v>
      </c>
      <c r="N35" s="14">
        <v>823593.36</v>
      </c>
      <c r="O35" s="14">
        <v>71376.34</v>
      </c>
      <c r="P35" s="14">
        <v>221233.39</v>
      </c>
      <c r="Q35" s="14">
        <v>368</v>
      </c>
      <c r="R35" s="14">
        <v>3014.05</v>
      </c>
      <c r="S35" s="14">
        <v>16745.13</v>
      </c>
      <c r="T35" s="14">
        <v>28217.68</v>
      </c>
      <c r="U35" s="14">
        <v>786</v>
      </c>
      <c r="V35" s="14">
        <v>-3646647.98</v>
      </c>
      <c r="W35" s="14">
        <v>133250847.83</v>
      </c>
    </row>
    <row r="36" spans="1:24" s="7" customFormat="1" ht="21">
      <c r="A36" s="12" t="s">
        <v>122</v>
      </c>
      <c r="B36" s="13" t="s">
        <v>153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  <c r="Q36" s="14">
        <v>0</v>
      </c>
      <c r="R36" s="14">
        <v>0</v>
      </c>
      <c r="S36" s="14">
        <v>0</v>
      </c>
      <c r="T36" s="14">
        <v>0</v>
      </c>
      <c r="U36" s="14">
        <v>0</v>
      </c>
      <c r="V36" s="14">
        <v>0</v>
      </c>
      <c r="W36" s="14">
        <v>12640793.24</v>
      </c>
    </row>
    <row r="37" spans="1:24" s="7" customFormat="1" ht="10.5">
      <c r="A37" s="12" t="s">
        <v>141</v>
      </c>
      <c r="B37" s="13" t="s">
        <v>154</v>
      </c>
      <c r="C37" s="14">
        <v>10486079.1</v>
      </c>
      <c r="D37" s="14">
        <v>3880141.23</v>
      </c>
      <c r="E37" s="14">
        <v>11439781.119999999</v>
      </c>
      <c r="F37" s="14">
        <v>3203636.34</v>
      </c>
      <c r="G37" s="14">
        <v>6747484.7699999996</v>
      </c>
      <c r="H37" s="14">
        <v>3863817.8</v>
      </c>
      <c r="I37" s="14">
        <v>5019351.63</v>
      </c>
      <c r="J37" s="14">
        <v>1178852.42</v>
      </c>
      <c r="K37" s="14">
        <v>882550.67</v>
      </c>
      <c r="L37" s="14">
        <v>2726577.8</v>
      </c>
      <c r="M37" s="14">
        <v>9427753.8699999992</v>
      </c>
      <c r="N37" s="14">
        <v>8520765.4000000004</v>
      </c>
      <c r="O37" s="14">
        <v>9092699.9199999999</v>
      </c>
      <c r="P37" s="14">
        <v>2436709.59</v>
      </c>
      <c r="Q37" s="14">
        <v>344614.18</v>
      </c>
      <c r="R37" s="14">
        <v>5854112.9699999997</v>
      </c>
      <c r="S37" s="14">
        <v>1330584.6000000001</v>
      </c>
      <c r="T37" s="14">
        <v>2703732.6</v>
      </c>
      <c r="U37" s="14">
        <v>1232187.77</v>
      </c>
      <c r="V37" s="14">
        <v>0</v>
      </c>
      <c r="W37" s="14">
        <v>242727681.50999999</v>
      </c>
    </row>
    <row r="38" spans="1:24" s="7" customFormat="1" ht="10.5">
      <c r="A38" s="12" t="s">
        <v>148</v>
      </c>
      <c r="B38" s="13" t="s">
        <v>155</v>
      </c>
      <c r="C38" s="14">
        <v>81826.5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  <c r="Q38" s="14">
        <v>0</v>
      </c>
      <c r="R38" s="14">
        <v>0</v>
      </c>
      <c r="S38" s="14">
        <v>0</v>
      </c>
      <c r="T38" s="14">
        <v>0</v>
      </c>
      <c r="U38" s="14">
        <v>0</v>
      </c>
      <c r="V38" s="14">
        <v>0</v>
      </c>
      <c r="W38" s="14">
        <v>81826.5</v>
      </c>
    </row>
    <row r="39" spans="1:24" s="7" customFormat="1" ht="10.5">
      <c r="A39" s="12" t="s">
        <v>156</v>
      </c>
      <c r="B39" s="13" t="s">
        <v>129</v>
      </c>
      <c r="C39" s="14">
        <v>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4">
        <v>0</v>
      </c>
      <c r="Q39" s="14">
        <v>0</v>
      </c>
      <c r="R39" s="14">
        <v>0</v>
      </c>
      <c r="S39" s="14">
        <v>0</v>
      </c>
      <c r="T39" s="14">
        <v>0</v>
      </c>
      <c r="U39" s="14">
        <v>0</v>
      </c>
      <c r="V39" s="14">
        <v>0</v>
      </c>
      <c r="W39" s="14">
        <v>0</v>
      </c>
    </row>
    <row r="40" spans="1:24" s="7" customFormat="1" ht="10.5">
      <c r="A40" s="12" t="s">
        <v>157</v>
      </c>
      <c r="B40" s="13" t="s">
        <v>158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v>0</v>
      </c>
      <c r="Q40" s="14">
        <v>0</v>
      </c>
      <c r="R40" s="14">
        <v>0</v>
      </c>
      <c r="S40" s="14">
        <v>0</v>
      </c>
      <c r="T40" s="14">
        <v>0</v>
      </c>
      <c r="U40" s="14">
        <v>0</v>
      </c>
      <c r="V40" s="14">
        <v>0</v>
      </c>
      <c r="W40" s="14">
        <v>0</v>
      </c>
    </row>
    <row r="41" spans="1:24" s="7" customFormat="1" ht="10.5">
      <c r="A41" s="12" t="s">
        <v>126</v>
      </c>
      <c r="B41" s="13" t="s">
        <v>159</v>
      </c>
      <c r="C41" s="14">
        <v>13199883.1</v>
      </c>
      <c r="D41" s="14">
        <v>19426.310000000001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999.47</v>
      </c>
      <c r="L41" s="14">
        <v>14345.88</v>
      </c>
      <c r="M41" s="14">
        <v>58772.34</v>
      </c>
      <c r="N41" s="14">
        <v>6453.4</v>
      </c>
      <c r="O41" s="14">
        <v>22605.78</v>
      </c>
      <c r="P41" s="14">
        <v>24056.34</v>
      </c>
      <c r="Q41" s="14">
        <v>151767.14000000001</v>
      </c>
      <c r="R41" s="14">
        <v>0</v>
      </c>
      <c r="S41" s="14">
        <v>26309.72</v>
      </c>
      <c r="T41" s="14">
        <v>34068.959999999999</v>
      </c>
      <c r="U41" s="14">
        <v>0</v>
      </c>
      <c r="V41" s="14">
        <v>0</v>
      </c>
      <c r="W41" s="14">
        <v>18610674.649999999</v>
      </c>
    </row>
    <row r="42" spans="1:24" s="11" customFormat="1" ht="16.5" customHeight="1">
      <c r="A42" s="8"/>
      <c r="B42" s="9" t="s">
        <v>60</v>
      </c>
      <c r="C42" s="16">
        <v>12867500206.34</v>
      </c>
      <c r="D42" s="16">
        <v>3492649138.4099998</v>
      </c>
      <c r="E42" s="16">
        <v>2921286536.71</v>
      </c>
      <c r="F42" s="16">
        <v>3030780646.77</v>
      </c>
      <c r="G42" s="16">
        <v>22626194534.93</v>
      </c>
      <c r="H42" s="16">
        <v>5059867342.4799995</v>
      </c>
      <c r="I42" s="16">
        <v>6407772850.9499998</v>
      </c>
      <c r="J42" s="16">
        <v>618395272.65999997</v>
      </c>
      <c r="K42" s="16">
        <v>296316055.81999999</v>
      </c>
      <c r="L42" s="16">
        <v>8571980787.8699999</v>
      </c>
      <c r="M42" s="16">
        <v>2915293245.0700002</v>
      </c>
      <c r="N42" s="16">
        <v>863401012.42999995</v>
      </c>
      <c r="O42" s="16">
        <v>7357384672.7200003</v>
      </c>
      <c r="P42" s="16">
        <v>1102345427.6400001</v>
      </c>
      <c r="Q42" s="16">
        <v>648747018.20000005</v>
      </c>
      <c r="R42" s="16">
        <v>1541093043.54</v>
      </c>
      <c r="S42" s="16">
        <v>702609978.54999995</v>
      </c>
      <c r="T42" s="16">
        <v>11265374995.370001</v>
      </c>
      <c r="U42" s="16">
        <v>3252695297.5300002</v>
      </c>
      <c r="V42" s="16">
        <v>-389478055.48000002</v>
      </c>
      <c r="W42" s="16">
        <v>116376888174.47</v>
      </c>
    </row>
    <row r="44" spans="1:24">
      <c r="B44" s="17">
        <v>43244</v>
      </c>
      <c r="C44" s="18"/>
    </row>
    <row r="45" spans="1:24">
      <c r="B45" s="17"/>
      <c r="C45" s="18"/>
    </row>
    <row r="46" spans="1:24">
      <c r="B46" s="17">
        <v>43591</v>
      </c>
      <c r="C46" s="19">
        <v>1</v>
      </c>
      <c r="D46" s="19">
        <v>116</v>
      </c>
      <c r="E46" s="19">
        <v>117</v>
      </c>
      <c r="F46" s="19">
        <v>118</v>
      </c>
      <c r="G46" s="19">
        <v>119</v>
      </c>
      <c r="H46" s="19">
        <v>120</v>
      </c>
      <c r="I46" s="19">
        <v>121</v>
      </c>
      <c r="J46" s="19">
        <v>122</v>
      </c>
      <c r="K46" s="19">
        <v>123</v>
      </c>
      <c r="L46" s="19">
        <v>124</v>
      </c>
      <c r="M46" s="19">
        <v>125</v>
      </c>
      <c r="N46" s="19">
        <v>126</v>
      </c>
      <c r="O46" s="19">
        <v>127</v>
      </c>
      <c r="P46" s="19">
        <v>128</v>
      </c>
      <c r="Q46" s="19">
        <v>129</v>
      </c>
      <c r="R46" s="19">
        <v>130</v>
      </c>
      <c r="S46" s="19">
        <v>131</v>
      </c>
      <c r="T46" s="19">
        <v>132</v>
      </c>
      <c r="U46" s="19">
        <v>133</v>
      </c>
      <c r="V46" s="19">
        <v>166</v>
      </c>
    </row>
    <row r="47" spans="1:24" s="7" customFormat="1" ht="21">
      <c r="A47" s="6"/>
      <c r="B47" s="6" t="s">
        <v>160</v>
      </c>
      <c r="C47" s="6" t="s">
        <v>82</v>
      </c>
      <c r="D47" s="6" t="s">
        <v>83</v>
      </c>
      <c r="E47" s="6" t="s">
        <v>84</v>
      </c>
      <c r="F47" s="6" t="s">
        <v>85</v>
      </c>
      <c r="G47" s="6" t="s">
        <v>86</v>
      </c>
      <c r="H47" s="6" t="s">
        <v>87</v>
      </c>
      <c r="I47" s="6" t="s">
        <v>88</v>
      </c>
      <c r="J47" s="6" t="s">
        <v>89</v>
      </c>
      <c r="K47" s="6" t="s">
        <v>90</v>
      </c>
      <c r="L47" s="6" t="s">
        <v>91</v>
      </c>
      <c r="M47" s="6" t="s">
        <v>92</v>
      </c>
      <c r="N47" s="6" t="s">
        <v>93</v>
      </c>
      <c r="O47" s="6" t="s">
        <v>94</v>
      </c>
      <c r="P47" s="6" t="s">
        <v>95</v>
      </c>
      <c r="Q47" s="6" t="s">
        <v>96</v>
      </c>
      <c r="R47" s="6" t="s">
        <v>97</v>
      </c>
      <c r="S47" s="6" t="s">
        <v>98</v>
      </c>
      <c r="T47" s="6" t="s">
        <v>99</v>
      </c>
      <c r="U47" s="6" t="s">
        <v>100</v>
      </c>
      <c r="V47" s="6" t="s">
        <v>162</v>
      </c>
      <c r="W47" s="6" t="s">
        <v>102</v>
      </c>
    </row>
    <row r="48" spans="1:24" s="22" customFormat="1">
      <c r="A48" s="8"/>
      <c r="B48" s="20" t="s">
        <v>5</v>
      </c>
      <c r="C48" s="10">
        <v>12697316020.700001</v>
      </c>
      <c r="D48" s="10">
        <v>3478677333</v>
      </c>
      <c r="E48" s="10">
        <v>2891770634.71</v>
      </c>
      <c r="F48" s="10">
        <v>3011221144.3400002</v>
      </c>
      <c r="G48" s="10">
        <v>22591377084.529999</v>
      </c>
      <c r="H48" s="10">
        <v>5031758097.3100004</v>
      </c>
      <c r="I48" s="10">
        <v>6380259796.3500004</v>
      </c>
      <c r="J48" s="10">
        <v>588882426.26999998</v>
      </c>
      <c r="K48" s="10">
        <v>288470340.88999999</v>
      </c>
      <c r="L48" s="10">
        <v>8524705326.9799995</v>
      </c>
      <c r="M48" s="10">
        <v>2887062023.8099999</v>
      </c>
      <c r="N48" s="10">
        <v>846942400.84000003</v>
      </c>
      <c r="O48" s="10">
        <v>7337389542.6000004</v>
      </c>
      <c r="P48" s="10">
        <v>1086993051.3699999</v>
      </c>
      <c r="Q48" s="10">
        <v>644968862.75</v>
      </c>
      <c r="R48" s="10">
        <v>1532449221.3099999</v>
      </c>
      <c r="S48" s="10">
        <v>689747134.63</v>
      </c>
      <c r="T48" s="10">
        <v>11231217478.25</v>
      </c>
      <c r="U48" s="10">
        <v>3243044857.6599998</v>
      </c>
      <c r="V48" s="10">
        <f>V49+V50+V60+V61+V65+V66</f>
        <v>-62785</v>
      </c>
      <c r="W48" s="10">
        <f>W49+W50+W60+W61+W65+W66</f>
        <v>94984189993.299988</v>
      </c>
      <c r="X48" s="21">
        <f>W48-'Bilans 31.12.2018'!B8</f>
        <v>0</v>
      </c>
    </row>
    <row r="49" spans="1:24" s="22" customFormat="1">
      <c r="A49" s="8"/>
      <c r="B49" s="20" t="s">
        <v>6</v>
      </c>
      <c r="C49" s="10">
        <v>17603533.18</v>
      </c>
      <c r="D49" s="10">
        <v>7744.08</v>
      </c>
      <c r="E49" s="10">
        <v>0</v>
      </c>
      <c r="F49" s="10">
        <v>0</v>
      </c>
      <c r="G49" s="10">
        <v>0</v>
      </c>
      <c r="H49" s="10">
        <v>39771.800000000003</v>
      </c>
      <c r="I49" s="10">
        <v>4583.33</v>
      </c>
      <c r="J49" s="10">
        <v>15768.46</v>
      </c>
      <c r="K49" s="10">
        <v>0</v>
      </c>
      <c r="L49" s="10">
        <v>0</v>
      </c>
      <c r="M49" s="10">
        <v>0</v>
      </c>
      <c r="N49" s="10">
        <v>121023.67999999999</v>
      </c>
      <c r="O49" s="10">
        <v>0</v>
      </c>
      <c r="P49" s="10">
        <v>0</v>
      </c>
      <c r="Q49" s="10">
        <v>0</v>
      </c>
      <c r="R49" s="10">
        <v>0</v>
      </c>
      <c r="S49" s="10">
        <v>0</v>
      </c>
      <c r="T49" s="10">
        <v>297213.49</v>
      </c>
      <c r="U49" s="10">
        <v>31753.87</v>
      </c>
      <c r="V49" s="10">
        <v>0</v>
      </c>
      <c r="W49" s="10">
        <f>SUM(C49:V49)</f>
        <v>18121391.889999997</v>
      </c>
      <c r="X49" s="21">
        <f>W49-'Bilans 31.12.2018'!B9</f>
        <v>0</v>
      </c>
    </row>
    <row r="50" spans="1:24" s="22" customFormat="1">
      <c r="A50" s="8"/>
      <c r="B50" s="20" t="s">
        <v>8</v>
      </c>
      <c r="C50" s="10">
        <v>7841384769.3199997</v>
      </c>
      <c r="D50" s="10">
        <v>1617136256.3399999</v>
      </c>
      <c r="E50" s="10">
        <v>2378582358.9499998</v>
      </c>
      <c r="F50" s="10">
        <v>1232286216.97</v>
      </c>
      <c r="G50" s="10">
        <v>15083355617.25</v>
      </c>
      <c r="H50" s="10">
        <v>178312025.88</v>
      </c>
      <c r="I50" s="10">
        <v>3192545533.8099999</v>
      </c>
      <c r="J50" s="10">
        <v>99764341.090000004</v>
      </c>
      <c r="K50" s="10">
        <v>213863608.18000001</v>
      </c>
      <c r="L50" s="10">
        <v>1222340902.3499999</v>
      </c>
      <c r="M50" s="10">
        <v>589881432.74000001</v>
      </c>
      <c r="N50" s="10">
        <v>595125012.25999999</v>
      </c>
      <c r="O50" s="10">
        <v>3003051233.8299999</v>
      </c>
      <c r="P50" s="10">
        <v>882620492.13999999</v>
      </c>
      <c r="Q50" s="10">
        <v>610892474.58000004</v>
      </c>
      <c r="R50" s="10">
        <v>1203140996.02</v>
      </c>
      <c r="S50" s="10">
        <v>188802771.38999999</v>
      </c>
      <c r="T50" s="10">
        <v>7219988284.9399996</v>
      </c>
      <c r="U50" s="10">
        <v>1350112093.4300001</v>
      </c>
      <c r="V50" s="10">
        <f>V51+V58+V59</f>
        <v>0</v>
      </c>
      <c r="W50" s="10">
        <f>W51+W58+W59</f>
        <v>48703186421.470009</v>
      </c>
      <c r="X50" s="21">
        <f>W50-'Bilans 31.12.2018'!B10</f>
        <v>0</v>
      </c>
    </row>
    <row r="51" spans="1:24" s="22" customFormat="1">
      <c r="A51" s="8"/>
      <c r="B51" s="20" t="s">
        <v>9</v>
      </c>
      <c r="C51" s="10">
        <v>7827165994.0600004</v>
      </c>
      <c r="D51" s="10">
        <v>1557881214.3599999</v>
      </c>
      <c r="E51" s="10">
        <v>2249496254.9899998</v>
      </c>
      <c r="F51" s="10">
        <v>1176873075.1700001</v>
      </c>
      <c r="G51" s="10">
        <v>15022751913.07</v>
      </c>
      <c r="H51" s="10">
        <v>158675226.69999999</v>
      </c>
      <c r="I51" s="10">
        <v>3148004458.79</v>
      </c>
      <c r="J51" s="10">
        <v>84330793.170000002</v>
      </c>
      <c r="K51" s="10">
        <v>200461243.31</v>
      </c>
      <c r="L51" s="10">
        <v>1205077717.28</v>
      </c>
      <c r="M51" s="10">
        <v>514958446.13999999</v>
      </c>
      <c r="N51" s="10">
        <v>540326904.55999994</v>
      </c>
      <c r="O51" s="10">
        <v>2912843959.8200002</v>
      </c>
      <c r="P51" s="10">
        <v>828588573.07000005</v>
      </c>
      <c r="Q51" s="10">
        <v>606907951.94000006</v>
      </c>
      <c r="R51" s="10">
        <v>1110014600.4200001</v>
      </c>
      <c r="S51" s="10">
        <v>146184126.91</v>
      </c>
      <c r="T51" s="10">
        <v>7190830162.9700003</v>
      </c>
      <c r="U51" s="10">
        <v>1342456609.55</v>
      </c>
      <c r="V51" s="10">
        <f>V52+V54+V55+V56+V57</f>
        <v>0</v>
      </c>
      <c r="W51" s="10">
        <f>W52+W54+W55+W56+W57</f>
        <v>47823829226.280006</v>
      </c>
      <c r="X51" s="21">
        <f>W51-'Bilans 31.12.2018'!B11</f>
        <v>0</v>
      </c>
    </row>
    <row r="52" spans="1:24">
      <c r="A52" s="12"/>
      <c r="B52" s="23" t="s">
        <v>11</v>
      </c>
      <c r="C52" s="14">
        <v>7618122646.7700005</v>
      </c>
      <c r="D52" s="14">
        <v>1414646874.6400001</v>
      </c>
      <c r="E52" s="14">
        <v>2028783985.95</v>
      </c>
      <c r="F52" s="14">
        <v>1024223474.0700001</v>
      </c>
      <c r="G52" s="14">
        <v>14907914437.6</v>
      </c>
      <c r="H52" s="14">
        <v>17226213.48</v>
      </c>
      <c r="I52" s="14">
        <v>2926797504.79</v>
      </c>
      <c r="J52" s="14">
        <v>46704858.899999999</v>
      </c>
      <c r="K52" s="14">
        <v>127199222.14</v>
      </c>
      <c r="L52" s="14">
        <v>1187764144.8</v>
      </c>
      <c r="M52" s="14">
        <v>406680081.80000001</v>
      </c>
      <c r="N52" s="14">
        <v>412535391.24000001</v>
      </c>
      <c r="O52" s="14">
        <v>2672196544.8699999</v>
      </c>
      <c r="P52" s="14">
        <v>738865057.76999998</v>
      </c>
      <c r="Q52" s="14">
        <v>475102670.95999998</v>
      </c>
      <c r="R52" s="14">
        <v>973244711.44000006</v>
      </c>
      <c r="S52" s="14">
        <v>39970153.899999999</v>
      </c>
      <c r="T52" s="14">
        <v>7102592101.25</v>
      </c>
      <c r="U52" s="14">
        <v>1256939232</v>
      </c>
      <c r="V52" s="14">
        <v>0</v>
      </c>
      <c r="W52" s="14">
        <f t="shared" ref="W52:W60" si="0">SUM(C52:V52)</f>
        <v>45377509308.370003</v>
      </c>
      <c r="X52" s="28">
        <f>W52-'Bilans 31.12.2018'!B12</f>
        <v>0</v>
      </c>
    </row>
    <row r="53" spans="1:24" ht="45">
      <c r="A53" s="12"/>
      <c r="B53" s="23" t="s">
        <v>13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4">
        <v>0</v>
      </c>
      <c r="Q53" s="14">
        <v>0</v>
      </c>
      <c r="R53" s="14">
        <v>0</v>
      </c>
      <c r="S53" s="14">
        <v>0</v>
      </c>
      <c r="T53" s="14">
        <v>0</v>
      </c>
      <c r="U53" s="14">
        <v>0</v>
      </c>
      <c r="V53" s="14"/>
      <c r="W53" s="14">
        <f t="shared" si="0"/>
        <v>0</v>
      </c>
      <c r="X53" s="28">
        <f>W53-'Bilans 31.12.2018'!B13</f>
        <v>0</v>
      </c>
    </row>
    <row r="54" spans="1:24" ht="30">
      <c r="A54" s="12"/>
      <c r="B54" s="23" t="s">
        <v>14</v>
      </c>
      <c r="C54" s="14">
        <v>177775897.03999999</v>
      </c>
      <c r="D54" s="14">
        <v>141730149.5</v>
      </c>
      <c r="E54" s="14">
        <v>217788839.78999999</v>
      </c>
      <c r="F54" s="14">
        <v>147236995.15000001</v>
      </c>
      <c r="G54" s="14">
        <v>114030441.31</v>
      </c>
      <c r="H54" s="14">
        <v>139591627.12</v>
      </c>
      <c r="I54" s="14">
        <v>219917819.27000001</v>
      </c>
      <c r="J54" s="14">
        <v>37261706.770000003</v>
      </c>
      <c r="K54" s="14">
        <v>72736252.799999997</v>
      </c>
      <c r="L54" s="14">
        <v>16743787.939999999</v>
      </c>
      <c r="M54" s="14">
        <v>106346085.53</v>
      </c>
      <c r="N54" s="14">
        <v>125896306.36</v>
      </c>
      <c r="O54" s="14">
        <v>237421498.06999999</v>
      </c>
      <c r="P54" s="14">
        <v>89388701.359999999</v>
      </c>
      <c r="Q54" s="14">
        <v>130924282.84</v>
      </c>
      <c r="R54" s="14">
        <v>136408462.49000001</v>
      </c>
      <c r="S54" s="14">
        <v>105911939.45999999</v>
      </c>
      <c r="T54" s="14">
        <v>86024893.569999993</v>
      </c>
      <c r="U54" s="14">
        <v>67437013.5</v>
      </c>
      <c r="V54" s="14"/>
      <c r="W54" s="14">
        <f t="shared" si="0"/>
        <v>2370572699.8699999</v>
      </c>
      <c r="X54" s="28">
        <f>W54-'Bilans 31.12.2018'!B14</f>
        <v>0</v>
      </c>
    </row>
    <row r="55" spans="1:24">
      <c r="A55" s="12"/>
      <c r="B55" s="23" t="s">
        <v>16</v>
      </c>
      <c r="C55" s="14">
        <v>29519643.989999998</v>
      </c>
      <c r="D55" s="14">
        <v>1366652.63</v>
      </c>
      <c r="E55" s="14">
        <v>628263.34</v>
      </c>
      <c r="F55" s="14">
        <v>1409768.43</v>
      </c>
      <c r="G55" s="14">
        <v>335053.15999999997</v>
      </c>
      <c r="H55" s="14">
        <v>1538340.22</v>
      </c>
      <c r="I55" s="14">
        <v>254860.87</v>
      </c>
      <c r="J55" s="14">
        <v>235182.24</v>
      </c>
      <c r="K55" s="14">
        <v>397933.89</v>
      </c>
      <c r="L55" s="14">
        <v>390388.25</v>
      </c>
      <c r="M55" s="14">
        <v>1239395.79</v>
      </c>
      <c r="N55" s="14">
        <v>1250298.51</v>
      </c>
      <c r="O55" s="14">
        <v>1780905.2</v>
      </c>
      <c r="P55" s="14">
        <v>290100.58</v>
      </c>
      <c r="Q55" s="14">
        <v>118096.69</v>
      </c>
      <c r="R55" s="14">
        <v>49189.33</v>
      </c>
      <c r="S55" s="14">
        <v>38044.81</v>
      </c>
      <c r="T55" s="14">
        <v>1613966.08</v>
      </c>
      <c r="U55" s="14">
        <v>896701.05</v>
      </c>
      <c r="V55" s="14"/>
      <c r="W55" s="14">
        <f t="shared" si="0"/>
        <v>43352785.059999987</v>
      </c>
      <c r="X55" s="28">
        <f>W55-'Bilans 31.12.2018'!B15</f>
        <v>0</v>
      </c>
    </row>
    <row r="56" spans="1:24">
      <c r="A56" s="12"/>
      <c r="B56" s="23" t="s">
        <v>18</v>
      </c>
      <c r="C56" s="14">
        <v>102708.81</v>
      </c>
      <c r="D56" s="14">
        <v>0</v>
      </c>
      <c r="E56" s="14">
        <v>31245.27</v>
      </c>
      <c r="F56" s="14">
        <v>62453.01</v>
      </c>
      <c r="G56" s="14">
        <v>58875</v>
      </c>
      <c r="H56" s="14">
        <v>3917.57</v>
      </c>
      <c r="I56" s="14">
        <v>120311.41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114380.9</v>
      </c>
      <c r="P56" s="14">
        <v>0</v>
      </c>
      <c r="Q56" s="14">
        <v>11852.54</v>
      </c>
      <c r="R56" s="14">
        <v>62428.02</v>
      </c>
      <c r="S56" s="14">
        <v>0</v>
      </c>
      <c r="T56" s="14">
        <v>0</v>
      </c>
      <c r="U56" s="14">
        <v>765.34</v>
      </c>
      <c r="V56" s="14"/>
      <c r="W56" s="14">
        <f t="shared" si="0"/>
        <v>568937.86999999988</v>
      </c>
      <c r="X56" s="28">
        <f>W56-'Bilans 31.12.2018'!B16</f>
        <v>0</v>
      </c>
    </row>
    <row r="57" spans="1:24">
      <c r="A57" s="12"/>
      <c r="B57" s="23" t="s">
        <v>20</v>
      </c>
      <c r="C57" s="14">
        <v>1645097.45</v>
      </c>
      <c r="D57" s="14">
        <v>137537.59</v>
      </c>
      <c r="E57" s="14">
        <v>2263920.6400000001</v>
      </c>
      <c r="F57" s="14">
        <v>3940384.51</v>
      </c>
      <c r="G57" s="14">
        <v>413106</v>
      </c>
      <c r="H57" s="14">
        <v>315128.31</v>
      </c>
      <c r="I57" s="14">
        <v>913962.45</v>
      </c>
      <c r="J57" s="14">
        <v>129045.26</v>
      </c>
      <c r="K57" s="14">
        <v>127834.48</v>
      </c>
      <c r="L57" s="14">
        <v>179396.29</v>
      </c>
      <c r="M57" s="14">
        <v>692883.02</v>
      </c>
      <c r="N57" s="14">
        <v>644908.44999999995</v>
      </c>
      <c r="O57" s="14">
        <v>1330630.78</v>
      </c>
      <c r="P57" s="14">
        <v>44713.36</v>
      </c>
      <c r="Q57" s="14">
        <v>751048.91</v>
      </c>
      <c r="R57" s="14">
        <v>249809.14</v>
      </c>
      <c r="S57" s="14">
        <v>263988.74</v>
      </c>
      <c r="T57" s="14">
        <v>599202.06999999995</v>
      </c>
      <c r="U57" s="14">
        <v>17182897.66</v>
      </c>
      <c r="V57" s="14"/>
      <c r="W57" s="14">
        <f t="shared" si="0"/>
        <v>31825495.109999999</v>
      </c>
      <c r="X57" s="28">
        <f>W57-'Bilans 31.12.2018'!B17</f>
        <v>0</v>
      </c>
    </row>
    <row r="58" spans="1:24">
      <c r="A58" s="12"/>
      <c r="B58" s="20" t="s">
        <v>21</v>
      </c>
      <c r="C58" s="14">
        <v>14218775.26</v>
      </c>
      <c r="D58" s="14">
        <v>59255041.979999997</v>
      </c>
      <c r="E58" s="14">
        <v>129086103.95999999</v>
      </c>
      <c r="F58" s="14">
        <v>55413141.799999997</v>
      </c>
      <c r="G58" s="14">
        <v>60603704.18</v>
      </c>
      <c r="H58" s="14">
        <v>19636799.18</v>
      </c>
      <c r="I58" s="14">
        <v>44541075.020000003</v>
      </c>
      <c r="J58" s="14">
        <v>15433547.92</v>
      </c>
      <c r="K58" s="14">
        <v>13402364.869999999</v>
      </c>
      <c r="L58" s="14">
        <v>17263185.07</v>
      </c>
      <c r="M58" s="14">
        <v>74922986.599999994</v>
      </c>
      <c r="N58" s="14">
        <v>54798107.700000003</v>
      </c>
      <c r="O58" s="14">
        <v>90207274.010000005</v>
      </c>
      <c r="P58" s="14">
        <v>54031919.07</v>
      </c>
      <c r="Q58" s="14">
        <v>3984522.64</v>
      </c>
      <c r="R58" s="14">
        <v>93126395.599999994</v>
      </c>
      <c r="S58" s="14">
        <v>42618644.479999997</v>
      </c>
      <c r="T58" s="14">
        <v>29158121.969999999</v>
      </c>
      <c r="U58" s="14">
        <v>7655483.8799999999</v>
      </c>
      <c r="V58" s="14"/>
      <c r="W58" s="14">
        <f t="shared" si="0"/>
        <v>879357195.19000018</v>
      </c>
      <c r="X58" s="28">
        <f>W58-'Bilans 31.12.2018'!B18</f>
        <v>0</v>
      </c>
    </row>
    <row r="59" spans="1:24" ht="29.25">
      <c r="A59" s="12"/>
      <c r="B59" s="20" t="s">
        <v>22</v>
      </c>
      <c r="C59" s="14">
        <v>0</v>
      </c>
      <c r="D59" s="14">
        <v>0</v>
      </c>
      <c r="E59" s="14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14">
        <v>0</v>
      </c>
      <c r="Q59" s="14">
        <v>0</v>
      </c>
      <c r="R59" s="14">
        <v>0</v>
      </c>
      <c r="S59" s="14">
        <v>0</v>
      </c>
      <c r="T59" s="14">
        <v>0</v>
      </c>
      <c r="U59" s="14">
        <v>0</v>
      </c>
      <c r="V59" s="14"/>
      <c r="W59" s="14">
        <f t="shared" si="0"/>
        <v>0</v>
      </c>
      <c r="X59" s="28">
        <f>W59-'Bilans 31.12.2018'!B19</f>
        <v>0</v>
      </c>
    </row>
    <row r="60" spans="1:24" s="22" customFormat="1">
      <c r="A60" s="8"/>
      <c r="B60" s="20" t="s">
        <v>23</v>
      </c>
      <c r="C60" s="10">
        <v>24742007.84</v>
      </c>
      <c r="D60" s="10">
        <v>2304618.0499999998</v>
      </c>
      <c r="E60" s="10">
        <v>15628095.210000001</v>
      </c>
      <c r="F60" s="10">
        <v>5817056.29</v>
      </c>
      <c r="G60" s="10">
        <v>12349803.92</v>
      </c>
      <c r="H60" s="10">
        <v>30666994.420000002</v>
      </c>
      <c r="I60" s="10">
        <v>14094568.210000001</v>
      </c>
      <c r="J60" s="10">
        <v>3519220.26</v>
      </c>
      <c r="K60" s="10">
        <v>8410620.0099999998</v>
      </c>
      <c r="L60" s="10">
        <v>25843845.969999999</v>
      </c>
      <c r="M60" s="10">
        <v>3764804.74</v>
      </c>
      <c r="N60" s="10">
        <v>2829694.49</v>
      </c>
      <c r="O60" s="10">
        <v>11736926.16</v>
      </c>
      <c r="P60" s="10">
        <v>13437162.880000001</v>
      </c>
      <c r="Q60" s="10">
        <v>2489836.8199999998</v>
      </c>
      <c r="R60" s="10">
        <v>2830419.29</v>
      </c>
      <c r="S60" s="10">
        <v>5432998.7199999997</v>
      </c>
      <c r="T60" s="10">
        <v>6440528.9000000004</v>
      </c>
      <c r="U60" s="10">
        <v>4247729.59</v>
      </c>
      <c r="V60" s="10">
        <f>-'[1]Nal-Zob'!$D$55</f>
        <v>-62785</v>
      </c>
      <c r="W60" s="10">
        <f t="shared" si="0"/>
        <v>196524146.77000001</v>
      </c>
      <c r="X60" s="21">
        <f>W60-'Bilans 31.12.2018'!B20</f>
        <v>0</v>
      </c>
    </row>
    <row r="61" spans="1:24" s="22" customFormat="1">
      <c r="A61" s="8"/>
      <c r="B61" s="20" t="s">
        <v>24</v>
      </c>
      <c r="C61" s="10">
        <v>4689095026.0600004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0">
        <v>0</v>
      </c>
      <c r="K61" s="10">
        <v>0</v>
      </c>
      <c r="L61" s="10">
        <v>0</v>
      </c>
      <c r="M61" s="10">
        <v>0</v>
      </c>
      <c r="N61" s="10">
        <v>0</v>
      </c>
      <c r="O61" s="10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f>SUM(V62:V64)</f>
        <v>0</v>
      </c>
      <c r="W61" s="10">
        <f>SUM(W62:W64)</f>
        <v>4689095026.0600004</v>
      </c>
      <c r="X61" s="21">
        <f>W61-'Bilans 31.12.2018'!B21</f>
        <v>0</v>
      </c>
    </row>
    <row r="62" spans="1:24">
      <c r="A62" s="12"/>
      <c r="B62" s="23" t="s">
        <v>25</v>
      </c>
      <c r="C62" s="14">
        <v>4689095026.0600004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14">
        <v>0</v>
      </c>
      <c r="Q62" s="14">
        <v>0</v>
      </c>
      <c r="R62" s="14">
        <v>0</v>
      </c>
      <c r="S62" s="14">
        <v>0</v>
      </c>
      <c r="T62" s="14">
        <v>0</v>
      </c>
      <c r="U62" s="14">
        <v>0</v>
      </c>
      <c r="V62" s="14"/>
      <c r="W62" s="14">
        <f>SUM(C62:V62)</f>
        <v>4689095026.0600004</v>
      </c>
      <c r="X62" s="28">
        <f>W62-'Bilans 31.12.2018'!B22</f>
        <v>0</v>
      </c>
    </row>
    <row r="63" spans="1:24">
      <c r="A63" s="12"/>
      <c r="B63" s="23" t="s">
        <v>27</v>
      </c>
      <c r="C63" s="14">
        <v>0</v>
      </c>
      <c r="D63" s="14">
        <v>0</v>
      </c>
      <c r="E63" s="14">
        <v>0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4">
        <v>0</v>
      </c>
      <c r="Q63" s="14">
        <v>0</v>
      </c>
      <c r="R63" s="14">
        <v>0</v>
      </c>
      <c r="S63" s="14">
        <v>0</v>
      </c>
      <c r="T63" s="14">
        <v>0</v>
      </c>
      <c r="U63" s="14">
        <v>0</v>
      </c>
      <c r="V63" s="14"/>
      <c r="W63" s="14">
        <f>SUM(C63:V63)</f>
        <v>0</v>
      </c>
      <c r="X63" s="28">
        <f>W63-'Bilans 31.12.2018'!B23</f>
        <v>0</v>
      </c>
    </row>
    <row r="64" spans="1:24">
      <c r="A64" s="12"/>
      <c r="B64" s="23" t="s">
        <v>29</v>
      </c>
      <c r="C64" s="14">
        <v>0</v>
      </c>
      <c r="D64" s="14">
        <v>0</v>
      </c>
      <c r="E64" s="14">
        <v>0</v>
      </c>
      <c r="F64" s="14">
        <v>0</v>
      </c>
      <c r="G64" s="14">
        <v>0</v>
      </c>
      <c r="H64" s="14">
        <v>0</v>
      </c>
      <c r="I64" s="14">
        <v>0</v>
      </c>
      <c r="J64" s="14">
        <v>0</v>
      </c>
      <c r="K64" s="14">
        <v>0</v>
      </c>
      <c r="L64" s="14">
        <v>0</v>
      </c>
      <c r="M64" s="14">
        <v>0</v>
      </c>
      <c r="N64" s="14">
        <v>0</v>
      </c>
      <c r="O64" s="14">
        <v>0</v>
      </c>
      <c r="P64" s="14">
        <v>0</v>
      </c>
      <c r="Q64" s="14">
        <v>0</v>
      </c>
      <c r="R64" s="14">
        <v>0</v>
      </c>
      <c r="S64" s="14">
        <v>0</v>
      </c>
      <c r="T64" s="14">
        <v>0</v>
      </c>
      <c r="U64" s="14">
        <v>0</v>
      </c>
      <c r="V64" s="14"/>
      <c r="W64" s="14">
        <f>SUM(C64:V64)</f>
        <v>0</v>
      </c>
      <c r="X64" s="28">
        <f>W64-'Bilans 31.12.2018'!B24</f>
        <v>0</v>
      </c>
    </row>
    <row r="65" spans="1:24" s="22" customFormat="1">
      <c r="A65" s="8"/>
      <c r="B65" s="20" t="s">
        <v>31</v>
      </c>
      <c r="C65" s="10">
        <v>124490684.3</v>
      </c>
      <c r="D65" s="10">
        <v>1859228714.53</v>
      </c>
      <c r="E65" s="10">
        <v>497560180.55000001</v>
      </c>
      <c r="F65" s="10">
        <v>1773117871.0799999</v>
      </c>
      <c r="G65" s="10">
        <v>7495671663.3599997</v>
      </c>
      <c r="H65" s="10">
        <v>4822739305.21</v>
      </c>
      <c r="I65" s="10">
        <v>3173615111</v>
      </c>
      <c r="J65" s="10">
        <v>485583096.45999998</v>
      </c>
      <c r="K65" s="10">
        <v>66196112.700000003</v>
      </c>
      <c r="L65" s="10">
        <v>7276520578.6599998</v>
      </c>
      <c r="M65" s="10">
        <v>2293415786.3299999</v>
      </c>
      <c r="N65" s="10">
        <v>248866670.41</v>
      </c>
      <c r="O65" s="10">
        <v>4322601382.6099997</v>
      </c>
      <c r="P65" s="10">
        <v>190935396.34999999</v>
      </c>
      <c r="Q65" s="10">
        <v>31586551.350000001</v>
      </c>
      <c r="R65" s="10">
        <v>326477806</v>
      </c>
      <c r="S65" s="10">
        <v>495511364.51999998</v>
      </c>
      <c r="T65" s="10">
        <v>4004491450.9200001</v>
      </c>
      <c r="U65" s="10">
        <v>1888653280.77</v>
      </c>
      <c r="V65" s="10"/>
      <c r="W65" s="10">
        <f>SUM(C65:V65)</f>
        <v>41377263007.109985</v>
      </c>
      <c r="X65" s="21">
        <f>W65-'Bilans 31.12.2018'!B25</f>
        <v>0</v>
      </c>
    </row>
    <row r="66" spans="1:24" s="22" customFormat="1" ht="29.25">
      <c r="A66" s="8"/>
      <c r="B66" s="20" t="s">
        <v>32</v>
      </c>
      <c r="C66" s="10">
        <v>0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  <c r="K66" s="10">
        <v>0</v>
      </c>
      <c r="L66" s="10">
        <v>0</v>
      </c>
      <c r="M66" s="10">
        <v>0</v>
      </c>
      <c r="N66" s="10">
        <v>0</v>
      </c>
      <c r="O66" s="10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/>
      <c r="W66" s="10">
        <f>SUM(C66:V66)</f>
        <v>0</v>
      </c>
      <c r="X66" s="21">
        <f>W66-'Bilans 31.12.2018'!B26</f>
        <v>0</v>
      </c>
    </row>
    <row r="67" spans="1:24" s="22" customFormat="1">
      <c r="A67" s="8"/>
      <c r="B67" s="20" t="s">
        <v>34</v>
      </c>
      <c r="C67" s="10">
        <v>170184185.63999999</v>
      </c>
      <c r="D67" s="10">
        <v>13971805.41</v>
      </c>
      <c r="E67" s="10">
        <v>29515902</v>
      </c>
      <c r="F67" s="10">
        <v>19559502.43</v>
      </c>
      <c r="G67" s="10">
        <v>34817450.399999999</v>
      </c>
      <c r="H67" s="10">
        <v>28109245.170000002</v>
      </c>
      <c r="I67" s="10">
        <v>27513054.600000001</v>
      </c>
      <c r="J67" s="10">
        <v>29512846.390000001</v>
      </c>
      <c r="K67" s="10">
        <v>7845714.9299999997</v>
      </c>
      <c r="L67" s="10">
        <v>47275460.890000001</v>
      </c>
      <c r="M67" s="10">
        <v>28231221.260000002</v>
      </c>
      <c r="N67" s="10">
        <v>16458611.59</v>
      </c>
      <c r="O67" s="10">
        <v>19995130.120000001</v>
      </c>
      <c r="P67" s="10">
        <v>15352376.27</v>
      </c>
      <c r="Q67" s="10">
        <v>3778155.45</v>
      </c>
      <c r="R67" s="10">
        <v>8643822.2300000004</v>
      </c>
      <c r="S67" s="10">
        <v>12862843.92</v>
      </c>
      <c r="T67" s="10">
        <v>34157517.119999997</v>
      </c>
      <c r="U67" s="10">
        <v>9650439.8699999992</v>
      </c>
      <c r="V67" s="10">
        <f>V68+V73+V79+V87</f>
        <v>-166700470.91999999</v>
      </c>
      <c r="W67" s="10">
        <f>W68+W73+W79+W87</f>
        <v>390734814.77000004</v>
      </c>
      <c r="X67" s="21">
        <f>W67-'Bilans 31.12.2018'!B27</f>
        <v>0</v>
      </c>
    </row>
    <row r="68" spans="1:24" s="22" customFormat="1">
      <c r="A68" s="8"/>
      <c r="B68" s="20" t="s">
        <v>36</v>
      </c>
      <c r="C68" s="10">
        <v>867423.16</v>
      </c>
      <c r="D68" s="10">
        <v>127655.18</v>
      </c>
      <c r="E68" s="10">
        <v>0</v>
      </c>
      <c r="F68" s="10">
        <v>164427.65</v>
      </c>
      <c r="G68" s="10">
        <v>327766.31</v>
      </c>
      <c r="H68" s="10">
        <v>0</v>
      </c>
      <c r="I68" s="10">
        <v>0</v>
      </c>
      <c r="J68" s="10">
        <v>0</v>
      </c>
      <c r="K68" s="10">
        <v>0</v>
      </c>
      <c r="L68" s="10">
        <v>145576.24</v>
      </c>
      <c r="M68" s="10">
        <v>0</v>
      </c>
      <c r="N68" s="10">
        <v>0</v>
      </c>
      <c r="O68" s="10">
        <v>0</v>
      </c>
      <c r="P68" s="10">
        <v>0</v>
      </c>
      <c r="Q68" s="10">
        <v>0</v>
      </c>
      <c r="R68" s="10">
        <v>0</v>
      </c>
      <c r="S68" s="10">
        <v>80905.37</v>
      </c>
      <c r="T68" s="10">
        <v>115768.8</v>
      </c>
      <c r="U68" s="10">
        <v>137433.07999999999</v>
      </c>
      <c r="V68" s="10">
        <f>SUM(V69:V72)</f>
        <v>0</v>
      </c>
      <c r="W68" s="10">
        <f>SUM(W69:W72)</f>
        <v>1966955.7900000003</v>
      </c>
      <c r="X68" s="21">
        <f>W68-'Bilans 31.12.2018'!B28</f>
        <v>0</v>
      </c>
    </row>
    <row r="69" spans="1:24">
      <c r="A69" s="12"/>
      <c r="B69" s="23" t="s">
        <v>38</v>
      </c>
      <c r="C69" s="14">
        <v>867423.16</v>
      </c>
      <c r="D69" s="14">
        <v>127655.18</v>
      </c>
      <c r="E69" s="14">
        <v>0</v>
      </c>
      <c r="F69" s="14">
        <v>164427.65</v>
      </c>
      <c r="G69" s="14">
        <v>327766.31</v>
      </c>
      <c r="H69" s="14">
        <v>0</v>
      </c>
      <c r="I69" s="14">
        <v>0</v>
      </c>
      <c r="J69" s="14">
        <v>0</v>
      </c>
      <c r="K69" s="14">
        <v>0</v>
      </c>
      <c r="L69" s="14">
        <v>145576.24</v>
      </c>
      <c r="M69" s="14">
        <v>0</v>
      </c>
      <c r="N69" s="14">
        <v>0</v>
      </c>
      <c r="O69" s="14">
        <v>0</v>
      </c>
      <c r="P69" s="14">
        <v>0</v>
      </c>
      <c r="Q69" s="14">
        <v>0</v>
      </c>
      <c r="R69" s="14">
        <v>0</v>
      </c>
      <c r="S69" s="14">
        <v>80905.37</v>
      </c>
      <c r="T69" s="14">
        <v>115768.8</v>
      </c>
      <c r="U69" s="14">
        <v>137433.07999999999</v>
      </c>
      <c r="V69" s="14"/>
      <c r="W69" s="14">
        <f>SUM(C69:V69)</f>
        <v>1966955.7900000003</v>
      </c>
      <c r="X69" s="28">
        <f>W69-'Bilans 31.12.2018'!B29</f>
        <v>0</v>
      </c>
    </row>
    <row r="70" spans="1:24">
      <c r="A70" s="12"/>
      <c r="B70" s="23" t="s">
        <v>40</v>
      </c>
      <c r="C70" s="14">
        <v>0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14">
        <v>0</v>
      </c>
      <c r="Q70" s="14">
        <v>0</v>
      </c>
      <c r="R70" s="14">
        <v>0</v>
      </c>
      <c r="S70" s="14">
        <v>0</v>
      </c>
      <c r="T70" s="14">
        <v>0</v>
      </c>
      <c r="U70" s="14">
        <v>0</v>
      </c>
      <c r="V70" s="14"/>
      <c r="W70" s="14">
        <f>SUM(C70:V70)</f>
        <v>0</v>
      </c>
      <c r="X70" s="28">
        <f>W70-'Bilans 31.12.2018'!B30</f>
        <v>0</v>
      </c>
    </row>
    <row r="71" spans="1:24">
      <c r="A71" s="12"/>
      <c r="B71" s="23" t="s">
        <v>42</v>
      </c>
      <c r="C71" s="14">
        <v>0</v>
      </c>
      <c r="D71" s="14">
        <v>0</v>
      </c>
      <c r="E71" s="14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14">
        <v>0</v>
      </c>
      <c r="Q71" s="14">
        <v>0</v>
      </c>
      <c r="R71" s="14">
        <v>0</v>
      </c>
      <c r="S71" s="14">
        <v>0</v>
      </c>
      <c r="T71" s="14">
        <v>0</v>
      </c>
      <c r="U71" s="14">
        <v>0</v>
      </c>
      <c r="V71" s="14"/>
      <c r="W71" s="14">
        <f>SUM(C71:V71)</f>
        <v>0</v>
      </c>
      <c r="X71" s="28">
        <f>W71-'Bilans 31.12.2018'!B31</f>
        <v>0</v>
      </c>
    </row>
    <row r="72" spans="1:24">
      <c r="A72" s="12"/>
      <c r="B72" s="23" t="s">
        <v>43</v>
      </c>
      <c r="C72" s="14">
        <v>0</v>
      </c>
      <c r="D72" s="14">
        <v>0</v>
      </c>
      <c r="E72" s="14">
        <v>0</v>
      </c>
      <c r="F72" s="14">
        <v>0</v>
      </c>
      <c r="G72" s="14">
        <v>0</v>
      </c>
      <c r="H72" s="14">
        <v>0</v>
      </c>
      <c r="I72" s="14">
        <v>0</v>
      </c>
      <c r="J72" s="14">
        <v>0</v>
      </c>
      <c r="K72" s="14">
        <v>0</v>
      </c>
      <c r="L72" s="14">
        <v>0</v>
      </c>
      <c r="M72" s="14">
        <v>0</v>
      </c>
      <c r="N72" s="14">
        <v>0</v>
      </c>
      <c r="O72" s="14">
        <v>0</v>
      </c>
      <c r="P72" s="14">
        <v>0</v>
      </c>
      <c r="Q72" s="14">
        <v>0</v>
      </c>
      <c r="R72" s="14">
        <v>0</v>
      </c>
      <c r="S72" s="14">
        <v>0</v>
      </c>
      <c r="T72" s="14">
        <v>0</v>
      </c>
      <c r="U72" s="14">
        <v>0</v>
      </c>
      <c r="V72" s="14"/>
      <c r="W72" s="14">
        <f>SUM(C72:V72)</f>
        <v>0</v>
      </c>
      <c r="X72" s="28">
        <f>W72-'Bilans 31.12.2018'!B32</f>
        <v>0</v>
      </c>
    </row>
    <row r="73" spans="1:24" s="22" customFormat="1">
      <c r="A73" s="8"/>
      <c r="B73" s="20" t="s">
        <v>45</v>
      </c>
      <c r="C73" s="10">
        <v>140841260.81999999</v>
      </c>
      <c r="D73" s="10">
        <v>9914526.3699999992</v>
      </c>
      <c r="E73" s="10">
        <v>18060224.370000001</v>
      </c>
      <c r="F73" s="10">
        <v>16133064.1</v>
      </c>
      <c r="G73" s="10">
        <v>27640173.600000001</v>
      </c>
      <c r="H73" s="10">
        <v>24056334.350000001</v>
      </c>
      <c r="I73" s="10">
        <v>22369819.739999998</v>
      </c>
      <c r="J73" s="10">
        <v>28066170.25</v>
      </c>
      <c r="K73" s="10">
        <v>6954481.2000000002</v>
      </c>
      <c r="L73" s="10">
        <v>44212782.640000001</v>
      </c>
      <c r="M73" s="10">
        <v>18718778.23</v>
      </c>
      <c r="N73" s="10">
        <v>7107799.4299999997</v>
      </c>
      <c r="O73" s="10">
        <v>10808448.08</v>
      </c>
      <c r="P73" s="10">
        <v>12670376.949999999</v>
      </c>
      <c r="Q73" s="10">
        <v>3280130.13</v>
      </c>
      <c r="R73" s="10">
        <v>2786695.21</v>
      </c>
      <c r="S73" s="10">
        <v>11408299.1</v>
      </c>
      <c r="T73" s="10">
        <v>31275729.079999998</v>
      </c>
      <c r="U73" s="10">
        <v>8280033.0199999996</v>
      </c>
      <c r="V73" s="10">
        <f>SUM(V74:V78)</f>
        <v>-166700470.91999999</v>
      </c>
      <c r="W73" s="10">
        <f>SUM(W74:W78)</f>
        <v>277884655.75</v>
      </c>
      <c r="X73" s="21">
        <f>W73-'Bilans 31.12.2018'!B33</f>
        <v>0</v>
      </c>
    </row>
    <row r="74" spans="1:24">
      <c r="A74" s="12"/>
      <c r="B74" s="23" t="s">
        <v>46</v>
      </c>
      <c r="C74" s="14">
        <v>111751.89</v>
      </c>
      <c r="D74" s="14">
        <v>1463047.6</v>
      </c>
      <c r="E74" s="14">
        <v>50506.879999999997</v>
      </c>
      <c r="F74" s="14">
        <v>5563.32</v>
      </c>
      <c r="G74" s="14">
        <v>62.12</v>
      </c>
      <c r="H74" s="14">
        <v>571.92999999999995</v>
      </c>
      <c r="I74" s="14">
        <v>2670.99</v>
      </c>
      <c r="J74" s="14">
        <v>0</v>
      </c>
      <c r="K74" s="14">
        <v>849.07</v>
      </c>
      <c r="L74" s="14">
        <v>374879.59</v>
      </c>
      <c r="M74" s="14">
        <v>73.8</v>
      </c>
      <c r="N74" s="14">
        <v>69349.679999999993</v>
      </c>
      <c r="O74" s="14">
        <v>70607.09</v>
      </c>
      <c r="P74" s="14">
        <v>0</v>
      </c>
      <c r="Q74" s="14">
        <v>4109.67</v>
      </c>
      <c r="R74" s="14">
        <v>285909.15000000002</v>
      </c>
      <c r="S74" s="14">
        <v>16.59</v>
      </c>
      <c r="T74" s="14">
        <v>4554.74</v>
      </c>
      <c r="U74" s="14">
        <v>183678.43</v>
      </c>
      <c r="V74" s="14"/>
      <c r="W74" s="14">
        <f>SUM(C74:V74)</f>
        <v>2628202.54</v>
      </c>
      <c r="X74" s="28">
        <f>W74-'Bilans 31.12.2018'!B34</f>
        <v>0</v>
      </c>
    </row>
    <row r="75" spans="1:24">
      <c r="A75" s="12"/>
      <c r="B75" s="23" t="s">
        <v>47</v>
      </c>
      <c r="C75" s="14">
        <v>52560155.189999998</v>
      </c>
      <c r="D75" s="14">
        <v>0</v>
      </c>
      <c r="E75" s="14">
        <v>2701.63</v>
      </c>
      <c r="F75" s="14">
        <v>9024.17</v>
      </c>
      <c r="G75" s="14">
        <v>16573.490000000002</v>
      </c>
      <c r="H75" s="14">
        <v>0</v>
      </c>
      <c r="I75" s="14">
        <v>3701.58</v>
      </c>
      <c r="J75" s="14">
        <v>222.33</v>
      </c>
      <c r="K75" s="14">
        <v>3960.15</v>
      </c>
      <c r="L75" s="14">
        <v>0</v>
      </c>
      <c r="M75" s="14">
        <v>29496.81</v>
      </c>
      <c r="N75" s="14">
        <v>4280.6499999999996</v>
      </c>
      <c r="O75" s="14">
        <v>15491.31</v>
      </c>
      <c r="P75" s="14">
        <v>4956.16</v>
      </c>
      <c r="Q75" s="14">
        <v>3622.63</v>
      </c>
      <c r="R75" s="14">
        <v>34608.089999999997</v>
      </c>
      <c r="S75" s="14">
        <v>0</v>
      </c>
      <c r="T75" s="14">
        <v>7149.65</v>
      </c>
      <c r="U75" s="14">
        <v>0</v>
      </c>
      <c r="V75" s="14"/>
      <c r="W75" s="14">
        <f>SUM(C75:V75)</f>
        <v>52695943.840000004</v>
      </c>
      <c r="X75" s="28">
        <f>W75-'Bilans 31.12.2018'!B35</f>
        <v>0</v>
      </c>
    </row>
    <row r="76" spans="1:24" ht="30">
      <c r="A76" s="12"/>
      <c r="B76" s="23" t="s">
        <v>48</v>
      </c>
      <c r="C76" s="14">
        <v>0</v>
      </c>
      <c r="D76" s="14">
        <v>0</v>
      </c>
      <c r="E76" s="14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129.99</v>
      </c>
      <c r="O76" s="14">
        <v>0</v>
      </c>
      <c r="P76" s="14">
        <v>0</v>
      </c>
      <c r="Q76" s="14">
        <v>0</v>
      </c>
      <c r="R76" s="14">
        <v>0</v>
      </c>
      <c r="S76" s="14">
        <v>0</v>
      </c>
      <c r="T76" s="14">
        <v>0</v>
      </c>
      <c r="U76" s="14">
        <v>0</v>
      </c>
      <c r="V76" s="14"/>
      <c r="W76" s="14">
        <f>SUM(C76:V76)</f>
        <v>129.99</v>
      </c>
      <c r="X76" s="28">
        <f>W76-'Bilans 31.12.2018'!B36</f>
        <v>0</v>
      </c>
    </row>
    <row r="77" spans="1:24">
      <c r="A77" s="12"/>
      <c r="B77" s="23" t="s">
        <v>49</v>
      </c>
      <c r="C77" s="14">
        <v>88169353.739999995</v>
      </c>
      <c r="D77" s="14">
        <v>8451478.7699999996</v>
      </c>
      <c r="E77" s="14">
        <v>18007015.859999999</v>
      </c>
      <c r="F77" s="14">
        <v>16118476.609999999</v>
      </c>
      <c r="G77" s="14">
        <v>27623537.989999998</v>
      </c>
      <c r="H77" s="14">
        <v>24055762.420000002</v>
      </c>
      <c r="I77" s="14">
        <v>22363447.170000002</v>
      </c>
      <c r="J77" s="14">
        <v>28065947.920000002</v>
      </c>
      <c r="K77" s="14">
        <v>6949671.9800000004</v>
      </c>
      <c r="L77" s="14">
        <v>43837903.049999997</v>
      </c>
      <c r="M77" s="14">
        <v>18689207.620000001</v>
      </c>
      <c r="N77" s="14">
        <v>7034039.1100000003</v>
      </c>
      <c r="O77" s="14">
        <v>10722349.68</v>
      </c>
      <c r="P77" s="14">
        <v>12665420.789999999</v>
      </c>
      <c r="Q77" s="14">
        <v>3272397.83</v>
      </c>
      <c r="R77" s="14">
        <v>2466177.9700000002</v>
      </c>
      <c r="S77" s="14">
        <v>11408282.51</v>
      </c>
      <c r="T77" s="14">
        <v>31264024.690000001</v>
      </c>
      <c r="U77" s="14">
        <v>8096354.5899999999</v>
      </c>
      <c r="V77" s="14">
        <f>-'[1]Nal-Zob'!$D$64</f>
        <v>-166700470.91999999</v>
      </c>
      <c r="W77" s="14">
        <f>SUM(C77:V77)</f>
        <v>222560379.38000003</v>
      </c>
      <c r="X77" s="28">
        <f>W77-'Bilans 31.12.2018'!B37</f>
        <v>0</v>
      </c>
    </row>
    <row r="78" spans="1:24" ht="30">
      <c r="A78" s="12"/>
      <c r="B78" s="23" t="s">
        <v>50</v>
      </c>
      <c r="C78" s="14">
        <v>0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14">
        <v>0</v>
      </c>
      <c r="Q78" s="14">
        <v>0</v>
      </c>
      <c r="R78" s="14">
        <v>0</v>
      </c>
      <c r="S78" s="14">
        <v>0</v>
      </c>
      <c r="T78" s="14">
        <v>0</v>
      </c>
      <c r="U78" s="14">
        <v>0</v>
      </c>
      <c r="V78" s="14"/>
      <c r="W78" s="14">
        <f>SUM(C78:V78)</f>
        <v>0</v>
      </c>
      <c r="X78" s="28">
        <f>W78-'Bilans 31.12.2018'!B38</f>
        <v>0</v>
      </c>
    </row>
    <row r="79" spans="1:24" s="22" customFormat="1">
      <c r="A79" s="8"/>
      <c r="B79" s="20" t="s">
        <v>51</v>
      </c>
      <c r="C79" s="10">
        <v>15275618.560000001</v>
      </c>
      <c r="D79" s="10">
        <v>3910197.55</v>
      </c>
      <c r="E79" s="10">
        <v>11455677.630000001</v>
      </c>
      <c r="F79" s="10">
        <v>3262010.68</v>
      </c>
      <c r="G79" s="10">
        <v>6849510.4900000002</v>
      </c>
      <c r="H79" s="10">
        <v>4052910.82</v>
      </c>
      <c r="I79" s="10">
        <v>5143234.8600000003</v>
      </c>
      <c r="J79" s="10">
        <v>1446676.14</v>
      </c>
      <c r="K79" s="10">
        <v>890234.26</v>
      </c>
      <c r="L79" s="10">
        <v>2902756.13</v>
      </c>
      <c r="M79" s="10">
        <v>9453670.6899999995</v>
      </c>
      <c r="N79" s="10">
        <v>9344358.7599999998</v>
      </c>
      <c r="O79" s="10">
        <v>9164076.2599999998</v>
      </c>
      <c r="P79" s="10">
        <v>2657942.98</v>
      </c>
      <c r="Q79" s="10">
        <v>346258.18</v>
      </c>
      <c r="R79" s="10">
        <v>5857127.0199999996</v>
      </c>
      <c r="S79" s="10">
        <v>1347329.73</v>
      </c>
      <c r="T79" s="10">
        <v>2731950.28</v>
      </c>
      <c r="U79" s="10">
        <v>1232973.77</v>
      </c>
      <c r="V79" s="10">
        <f>SUM(V80:V86)</f>
        <v>0</v>
      </c>
      <c r="W79" s="10">
        <f>SUM(W80:W86)</f>
        <v>97324514.790000007</v>
      </c>
      <c r="X79" s="21">
        <f>W79-'Bilans 31.12.2018'!B39</f>
        <v>0</v>
      </c>
    </row>
    <row r="80" spans="1:24">
      <c r="A80" s="12"/>
      <c r="B80" s="23" t="s">
        <v>52</v>
      </c>
      <c r="C80" s="14">
        <v>0</v>
      </c>
      <c r="D80" s="14">
        <v>0</v>
      </c>
      <c r="E80" s="14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14">
        <v>0</v>
      </c>
      <c r="Q80" s="14">
        <v>1276</v>
      </c>
      <c r="R80" s="14">
        <v>0</v>
      </c>
      <c r="S80" s="14">
        <v>0</v>
      </c>
      <c r="T80" s="14">
        <v>0</v>
      </c>
      <c r="U80" s="14">
        <v>0</v>
      </c>
      <c r="V80" s="14"/>
      <c r="W80" s="14">
        <f t="shared" ref="W80:W87" si="1">SUM(C80:V80)</f>
        <v>1276</v>
      </c>
      <c r="X80" s="28">
        <f>W80-'Bilans 31.12.2018'!B40</f>
        <v>0</v>
      </c>
    </row>
    <row r="81" spans="1:25">
      <c r="A81" s="12"/>
      <c r="B81" s="23" t="s">
        <v>53</v>
      </c>
      <c r="C81" s="14">
        <v>4707712.96</v>
      </c>
      <c r="D81" s="14">
        <v>30056.32</v>
      </c>
      <c r="E81" s="14">
        <v>15896.51</v>
      </c>
      <c r="F81" s="14">
        <v>58374.34</v>
      </c>
      <c r="G81" s="14">
        <v>102025.72</v>
      </c>
      <c r="H81" s="14">
        <v>189093.02</v>
      </c>
      <c r="I81" s="14">
        <v>123883.23</v>
      </c>
      <c r="J81" s="14">
        <v>267823.71999999997</v>
      </c>
      <c r="K81" s="14">
        <v>7683.59</v>
      </c>
      <c r="L81" s="14">
        <v>176178.33</v>
      </c>
      <c r="M81" s="14">
        <v>25916.82</v>
      </c>
      <c r="N81" s="14">
        <v>823593.36</v>
      </c>
      <c r="O81" s="14">
        <v>71376.34</v>
      </c>
      <c r="P81" s="14">
        <v>221233.39</v>
      </c>
      <c r="Q81" s="14">
        <v>368</v>
      </c>
      <c r="R81" s="14">
        <v>3014.05</v>
      </c>
      <c r="S81" s="14">
        <v>16745.13</v>
      </c>
      <c r="T81" s="14">
        <v>28217.68</v>
      </c>
      <c r="U81" s="14">
        <v>786</v>
      </c>
      <c r="V81" s="14"/>
      <c r="W81" s="14">
        <f t="shared" si="1"/>
        <v>6869978.5099999988</v>
      </c>
      <c r="X81" s="28">
        <f>W81-'Bilans 31.12.2018'!B41</f>
        <v>0</v>
      </c>
    </row>
    <row r="82" spans="1:25" ht="30">
      <c r="A82" s="12"/>
      <c r="B82" s="23" t="s">
        <v>54</v>
      </c>
      <c r="C82" s="14">
        <v>0</v>
      </c>
      <c r="D82" s="14">
        <v>0</v>
      </c>
      <c r="E82" s="14">
        <v>0</v>
      </c>
      <c r="F82" s="14">
        <v>0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v>0</v>
      </c>
      <c r="P82" s="14">
        <v>0</v>
      </c>
      <c r="Q82" s="14">
        <v>0</v>
      </c>
      <c r="R82" s="14">
        <v>0</v>
      </c>
      <c r="S82" s="14">
        <v>0</v>
      </c>
      <c r="T82" s="14">
        <v>0</v>
      </c>
      <c r="U82" s="14">
        <v>0</v>
      </c>
      <c r="V82" s="14"/>
      <c r="W82" s="14">
        <f t="shared" si="1"/>
        <v>0</v>
      </c>
      <c r="X82" s="28">
        <f>W82-'Bilans 31.12.2018'!B42</f>
        <v>0</v>
      </c>
    </row>
    <row r="83" spans="1:25">
      <c r="A83" s="12"/>
      <c r="B83" s="23" t="s">
        <v>55</v>
      </c>
      <c r="C83" s="14">
        <v>10486079.1</v>
      </c>
      <c r="D83" s="14">
        <v>3880141.23</v>
      </c>
      <c r="E83" s="14">
        <v>11439781.119999999</v>
      </c>
      <c r="F83" s="14">
        <v>3203636.34</v>
      </c>
      <c r="G83" s="14">
        <v>6747484.7699999996</v>
      </c>
      <c r="H83" s="14">
        <v>3863817.8</v>
      </c>
      <c r="I83" s="14">
        <v>5019351.63</v>
      </c>
      <c r="J83" s="14">
        <v>1178852.42</v>
      </c>
      <c r="K83" s="14">
        <v>882550.67</v>
      </c>
      <c r="L83" s="14">
        <v>2726577.8</v>
      </c>
      <c r="M83" s="14">
        <v>9427753.8699999992</v>
      </c>
      <c r="N83" s="14">
        <v>8520765.4000000004</v>
      </c>
      <c r="O83" s="14">
        <v>9092699.9199999999</v>
      </c>
      <c r="P83" s="14">
        <v>2436709.59</v>
      </c>
      <c r="Q83" s="14">
        <v>344614.18</v>
      </c>
      <c r="R83" s="14">
        <v>5854112.9699999997</v>
      </c>
      <c r="S83" s="14">
        <v>1330584.6000000001</v>
      </c>
      <c r="T83" s="14">
        <v>2703732.6</v>
      </c>
      <c r="U83" s="14">
        <v>1232187.77</v>
      </c>
      <c r="V83" s="14"/>
      <c r="W83" s="14">
        <f t="shared" si="1"/>
        <v>90371433.780000001</v>
      </c>
      <c r="X83" s="28">
        <f>W83-'Bilans 31.12.2018'!B43</f>
        <v>0</v>
      </c>
    </row>
    <row r="84" spans="1:25">
      <c r="A84" s="12"/>
      <c r="B84" s="23" t="s">
        <v>56</v>
      </c>
      <c r="C84" s="14">
        <v>81826.5</v>
      </c>
      <c r="D84" s="14">
        <v>0</v>
      </c>
      <c r="E84" s="14">
        <v>0</v>
      </c>
      <c r="F84" s="14">
        <v>0</v>
      </c>
      <c r="G84" s="14">
        <v>0</v>
      </c>
      <c r="H84" s="14">
        <v>0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14">
        <v>0</v>
      </c>
      <c r="Q84" s="14">
        <v>0</v>
      </c>
      <c r="R84" s="14">
        <v>0</v>
      </c>
      <c r="S84" s="14">
        <v>0</v>
      </c>
      <c r="T84" s="14">
        <v>0</v>
      </c>
      <c r="U84" s="14">
        <v>0</v>
      </c>
      <c r="V84" s="14"/>
      <c r="W84" s="14">
        <f t="shared" si="1"/>
        <v>81826.5</v>
      </c>
      <c r="X84" s="28">
        <f>W84-'Bilans 31.12.2018'!B44</f>
        <v>0</v>
      </c>
    </row>
    <row r="85" spans="1:25">
      <c r="A85" s="12"/>
      <c r="B85" s="23" t="s">
        <v>57</v>
      </c>
      <c r="C85" s="14">
        <v>0</v>
      </c>
      <c r="D85" s="14">
        <v>0</v>
      </c>
      <c r="E85" s="14">
        <v>0</v>
      </c>
      <c r="F85" s="14">
        <v>0</v>
      </c>
      <c r="G85" s="14">
        <v>0</v>
      </c>
      <c r="H85" s="14">
        <v>0</v>
      </c>
      <c r="I85" s="14">
        <v>0</v>
      </c>
      <c r="J85" s="14">
        <v>0</v>
      </c>
      <c r="K85" s="14">
        <v>0</v>
      </c>
      <c r="L85" s="14">
        <v>0</v>
      </c>
      <c r="M85" s="14">
        <v>0</v>
      </c>
      <c r="N85" s="14">
        <v>0</v>
      </c>
      <c r="O85" s="14">
        <v>0</v>
      </c>
      <c r="P85" s="14">
        <v>0</v>
      </c>
      <c r="Q85" s="14">
        <v>0</v>
      </c>
      <c r="R85" s="14">
        <v>0</v>
      </c>
      <c r="S85" s="14">
        <v>0</v>
      </c>
      <c r="T85" s="14">
        <v>0</v>
      </c>
      <c r="U85" s="14">
        <v>0</v>
      </c>
      <c r="V85" s="14"/>
      <c r="W85" s="14">
        <f t="shared" si="1"/>
        <v>0</v>
      </c>
      <c r="X85" s="28">
        <f>W85-'Bilans 31.12.2018'!B45</f>
        <v>0</v>
      </c>
    </row>
    <row r="86" spans="1:25">
      <c r="A86" s="12"/>
      <c r="B86" s="23" t="s">
        <v>58</v>
      </c>
      <c r="C86" s="14">
        <v>0</v>
      </c>
      <c r="D86" s="14">
        <v>0</v>
      </c>
      <c r="E86" s="14">
        <v>0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14">
        <v>0</v>
      </c>
      <c r="Q86" s="14">
        <v>0</v>
      </c>
      <c r="R86" s="14">
        <v>0</v>
      </c>
      <c r="S86" s="14">
        <v>0</v>
      </c>
      <c r="T86" s="14">
        <v>0</v>
      </c>
      <c r="U86" s="14">
        <v>0</v>
      </c>
      <c r="V86" s="14"/>
      <c r="W86" s="14">
        <f t="shared" si="1"/>
        <v>0</v>
      </c>
      <c r="X86" s="28">
        <f>W86-'Bilans 31.12.2018'!B46</f>
        <v>0</v>
      </c>
    </row>
    <row r="87" spans="1:25">
      <c r="A87" s="8"/>
      <c r="B87" s="20" t="s">
        <v>59</v>
      </c>
      <c r="C87" s="14">
        <v>13199883.1</v>
      </c>
      <c r="D87" s="14">
        <v>19426.310000000001</v>
      </c>
      <c r="E87" s="14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999.47</v>
      </c>
      <c r="L87" s="14">
        <v>14345.88</v>
      </c>
      <c r="M87" s="14">
        <v>58772.34</v>
      </c>
      <c r="N87" s="14">
        <v>6453.4</v>
      </c>
      <c r="O87" s="14">
        <v>22605.78</v>
      </c>
      <c r="P87" s="14">
        <v>24056.34</v>
      </c>
      <c r="Q87" s="14">
        <v>151767.14000000001</v>
      </c>
      <c r="R87" s="14">
        <v>0</v>
      </c>
      <c r="S87" s="14">
        <v>26309.72</v>
      </c>
      <c r="T87" s="14">
        <v>34068.959999999999</v>
      </c>
      <c r="U87" s="14">
        <v>0</v>
      </c>
      <c r="V87" s="14"/>
      <c r="W87" s="10">
        <f t="shared" si="1"/>
        <v>13558688.440000003</v>
      </c>
      <c r="X87" s="21">
        <f>W87-'Bilans 31.12.2018'!B47</f>
        <v>0</v>
      </c>
    </row>
    <row r="88" spans="1:25" s="22" customFormat="1">
      <c r="A88" s="25"/>
      <c r="B88" s="20" t="s">
        <v>60</v>
      </c>
      <c r="C88" s="10">
        <v>12867500206.34</v>
      </c>
      <c r="D88" s="10">
        <v>3492649138.4099998</v>
      </c>
      <c r="E88" s="10">
        <v>2921286536.71</v>
      </c>
      <c r="F88" s="10">
        <v>3030780646.77</v>
      </c>
      <c r="G88" s="10">
        <v>22626194534.93</v>
      </c>
      <c r="H88" s="10">
        <v>5059867342.4799995</v>
      </c>
      <c r="I88" s="10">
        <v>6407772850.9499998</v>
      </c>
      <c r="J88" s="10">
        <v>618395272.65999997</v>
      </c>
      <c r="K88" s="10">
        <v>296316055.81999999</v>
      </c>
      <c r="L88" s="10">
        <v>8571980787.8699999</v>
      </c>
      <c r="M88" s="10">
        <v>2915293245.0700002</v>
      </c>
      <c r="N88" s="10">
        <v>863401012.42999995</v>
      </c>
      <c r="O88" s="10">
        <v>7357384672.7200003</v>
      </c>
      <c r="P88" s="10">
        <v>1102345427.6400001</v>
      </c>
      <c r="Q88" s="10">
        <v>648747018.20000005</v>
      </c>
      <c r="R88" s="10">
        <v>1541093043.54</v>
      </c>
      <c r="S88" s="10">
        <v>702609978.54999995</v>
      </c>
      <c r="T88" s="10">
        <v>11265374995.370001</v>
      </c>
      <c r="U88" s="10">
        <v>3252695297.5300002</v>
      </c>
      <c r="V88" s="10">
        <f>V48+V67</f>
        <v>-166763255.91999999</v>
      </c>
      <c r="W88" s="10">
        <f>W48+W67</f>
        <v>95374924808.069992</v>
      </c>
      <c r="X88" s="21">
        <f>W88-'Bilans 31.12.2018'!B48</f>
        <v>0</v>
      </c>
      <c r="Y88" s="21"/>
    </row>
    <row r="89" spans="1:25">
      <c r="B89" s="26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</row>
    <row r="91" spans="1:25" s="7" customFormat="1" ht="21">
      <c r="A91" s="6" t="s">
        <v>80</v>
      </c>
      <c r="B91" s="6" t="s">
        <v>161</v>
      </c>
      <c r="C91" s="6" t="s">
        <v>82</v>
      </c>
      <c r="D91" s="6" t="s">
        <v>83</v>
      </c>
      <c r="E91" s="6" t="s">
        <v>84</v>
      </c>
      <c r="F91" s="6" t="s">
        <v>85</v>
      </c>
      <c r="G91" s="6" t="s">
        <v>86</v>
      </c>
      <c r="H91" s="6" t="s">
        <v>87</v>
      </c>
      <c r="I91" s="6" t="s">
        <v>88</v>
      </c>
      <c r="J91" s="6" t="s">
        <v>89</v>
      </c>
      <c r="K91" s="6" t="s">
        <v>90</v>
      </c>
      <c r="L91" s="6" t="s">
        <v>91</v>
      </c>
      <c r="M91" s="6" t="s">
        <v>92</v>
      </c>
      <c r="N91" s="6" t="s">
        <v>93</v>
      </c>
      <c r="O91" s="6" t="s">
        <v>94</v>
      </c>
      <c r="P91" s="6" t="s">
        <v>95</v>
      </c>
      <c r="Q91" s="6" t="s">
        <v>96</v>
      </c>
      <c r="R91" s="6" t="s">
        <v>97</v>
      </c>
      <c r="S91" s="6" t="s">
        <v>98</v>
      </c>
      <c r="T91" s="6" t="s">
        <v>99</v>
      </c>
      <c r="U91" s="6" t="s">
        <v>100</v>
      </c>
      <c r="V91" s="6"/>
      <c r="W91" s="6"/>
    </row>
    <row r="92" spans="1:25">
      <c r="A92" s="8" t="s">
        <v>103</v>
      </c>
      <c r="B92" s="9" t="s">
        <v>104</v>
      </c>
      <c r="C92" s="18">
        <f>C3-C48</f>
        <v>0</v>
      </c>
      <c r="D92" s="18">
        <f t="shared" ref="D92:Q95" si="2">D3-D48</f>
        <v>0</v>
      </c>
      <c r="E92" s="18">
        <f t="shared" si="2"/>
        <v>0</v>
      </c>
      <c r="F92" s="18">
        <f t="shared" si="2"/>
        <v>0</v>
      </c>
      <c r="G92" s="18">
        <f t="shared" si="2"/>
        <v>0</v>
      </c>
      <c r="H92" s="18">
        <f t="shared" si="2"/>
        <v>0</v>
      </c>
      <c r="I92" s="18">
        <f t="shared" si="2"/>
        <v>0</v>
      </c>
      <c r="J92" s="18">
        <f t="shared" si="2"/>
        <v>0</v>
      </c>
      <c r="K92" s="18">
        <f t="shared" si="2"/>
        <v>0</v>
      </c>
      <c r="L92" s="18">
        <f t="shared" si="2"/>
        <v>0</v>
      </c>
      <c r="M92" s="18">
        <f t="shared" si="2"/>
        <v>0</v>
      </c>
      <c r="N92" s="18">
        <f t="shared" si="2"/>
        <v>0</v>
      </c>
      <c r="O92" s="18">
        <f t="shared" si="2"/>
        <v>0</v>
      </c>
      <c r="P92" s="18">
        <f t="shared" si="2"/>
        <v>0</v>
      </c>
      <c r="Q92" s="18">
        <f t="shared" si="2"/>
        <v>0</v>
      </c>
      <c r="R92" s="18">
        <f t="shared" ref="R92:U96" si="3">R3-R48</f>
        <v>0</v>
      </c>
      <c r="S92" s="18">
        <f t="shared" si="3"/>
        <v>0</v>
      </c>
      <c r="T92" s="18">
        <f t="shared" si="3"/>
        <v>0</v>
      </c>
      <c r="U92" s="18">
        <f t="shared" si="3"/>
        <v>0</v>
      </c>
      <c r="V92" s="18"/>
      <c r="W92" s="18"/>
    </row>
    <row r="93" spans="1:25">
      <c r="A93" s="12" t="s">
        <v>105</v>
      </c>
      <c r="B93" s="13" t="s">
        <v>106</v>
      </c>
      <c r="C93" s="18">
        <f t="shared" ref="C93:C94" si="4">C4-C49</f>
        <v>0</v>
      </c>
      <c r="D93" s="18">
        <f t="shared" si="2"/>
        <v>0</v>
      </c>
      <c r="E93" s="18">
        <f t="shared" si="2"/>
        <v>0</v>
      </c>
      <c r="F93" s="18">
        <f t="shared" si="2"/>
        <v>0</v>
      </c>
      <c r="G93" s="18">
        <f t="shared" si="2"/>
        <v>0</v>
      </c>
      <c r="H93" s="18">
        <f t="shared" si="2"/>
        <v>0</v>
      </c>
      <c r="I93" s="18">
        <f t="shared" si="2"/>
        <v>0</v>
      </c>
      <c r="J93" s="18">
        <f t="shared" si="2"/>
        <v>0</v>
      </c>
      <c r="K93" s="18">
        <f t="shared" si="2"/>
        <v>0</v>
      </c>
      <c r="L93" s="18">
        <f t="shared" si="2"/>
        <v>0</v>
      </c>
      <c r="M93" s="18">
        <f t="shared" si="2"/>
        <v>0</v>
      </c>
      <c r="N93" s="18">
        <f t="shared" si="2"/>
        <v>0</v>
      </c>
      <c r="O93" s="18">
        <f t="shared" si="2"/>
        <v>0</v>
      </c>
      <c r="P93" s="18">
        <f t="shared" si="2"/>
        <v>0</v>
      </c>
      <c r="Q93" s="18">
        <f t="shared" si="2"/>
        <v>0</v>
      </c>
      <c r="R93" s="18">
        <f t="shared" si="3"/>
        <v>0</v>
      </c>
      <c r="S93" s="18">
        <f t="shared" si="3"/>
        <v>0</v>
      </c>
      <c r="T93" s="18">
        <f t="shared" si="3"/>
        <v>0</v>
      </c>
      <c r="U93" s="18">
        <f t="shared" si="3"/>
        <v>0</v>
      </c>
      <c r="V93" s="18"/>
      <c r="W93" s="18"/>
    </row>
    <row r="94" spans="1:25">
      <c r="A94" s="12" t="s">
        <v>107</v>
      </c>
      <c r="B94" s="13" t="s">
        <v>108</v>
      </c>
      <c r="C94" s="18">
        <f t="shared" si="4"/>
        <v>0</v>
      </c>
      <c r="D94" s="18">
        <f t="shared" si="2"/>
        <v>0</v>
      </c>
      <c r="E94" s="18">
        <f t="shared" si="2"/>
        <v>0</v>
      </c>
      <c r="F94" s="18">
        <f t="shared" si="2"/>
        <v>0</v>
      </c>
      <c r="G94" s="18">
        <f t="shared" si="2"/>
        <v>0</v>
      </c>
      <c r="H94" s="18">
        <f t="shared" si="2"/>
        <v>0</v>
      </c>
      <c r="I94" s="18">
        <f t="shared" si="2"/>
        <v>0</v>
      </c>
      <c r="J94" s="18">
        <f t="shared" si="2"/>
        <v>0</v>
      </c>
      <c r="K94" s="18">
        <f t="shared" si="2"/>
        <v>0</v>
      </c>
      <c r="L94" s="18">
        <f t="shared" si="2"/>
        <v>0</v>
      </c>
      <c r="M94" s="18">
        <f t="shared" si="2"/>
        <v>0</v>
      </c>
      <c r="N94" s="18">
        <f t="shared" si="2"/>
        <v>0</v>
      </c>
      <c r="O94" s="18">
        <f t="shared" si="2"/>
        <v>0</v>
      </c>
      <c r="P94" s="18">
        <f t="shared" si="2"/>
        <v>0</v>
      </c>
      <c r="Q94" s="18">
        <f t="shared" si="2"/>
        <v>0</v>
      </c>
      <c r="R94" s="18">
        <f t="shared" si="3"/>
        <v>0</v>
      </c>
      <c r="S94" s="18">
        <f t="shared" si="3"/>
        <v>0</v>
      </c>
      <c r="T94" s="18">
        <f t="shared" si="3"/>
        <v>0</v>
      </c>
      <c r="U94" s="18">
        <f t="shared" si="3"/>
        <v>0</v>
      </c>
      <c r="V94" s="18"/>
      <c r="W94" s="18"/>
    </row>
    <row r="95" spans="1:25">
      <c r="A95" s="12" t="s">
        <v>109</v>
      </c>
      <c r="B95" s="13" t="s">
        <v>110</v>
      </c>
      <c r="C95" s="18">
        <f>C6-C51</f>
        <v>0</v>
      </c>
      <c r="D95" s="18">
        <f t="shared" si="2"/>
        <v>0</v>
      </c>
      <c r="E95" s="18">
        <f t="shared" si="2"/>
        <v>0</v>
      </c>
      <c r="F95" s="18">
        <f t="shared" si="2"/>
        <v>0</v>
      </c>
      <c r="G95" s="18">
        <f t="shared" si="2"/>
        <v>0</v>
      </c>
      <c r="H95" s="18">
        <f t="shared" si="2"/>
        <v>0</v>
      </c>
      <c r="I95" s="18">
        <f t="shared" si="2"/>
        <v>0</v>
      </c>
      <c r="J95" s="18">
        <f t="shared" si="2"/>
        <v>0</v>
      </c>
      <c r="K95" s="18">
        <f t="shared" si="2"/>
        <v>0</v>
      </c>
      <c r="L95" s="18">
        <f t="shared" si="2"/>
        <v>0</v>
      </c>
      <c r="M95" s="18">
        <f t="shared" si="2"/>
        <v>0</v>
      </c>
      <c r="N95" s="18">
        <f t="shared" si="2"/>
        <v>0</v>
      </c>
      <c r="O95" s="18">
        <f t="shared" si="2"/>
        <v>0</v>
      </c>
      <c r="P95" s="18">
        <f t="shared" si="2"/>
        <v>0</v>
      </c>
      <c r="Q95" s="18">
        <f t="shared" ref="Q95" si="5">Q6-Q51</f>
        <v>0</v>
      </c>
      <c r="R95" s="18">
        <f t="shared" si="3"/>
        <v>0</v>
      </c>
      <c r="S95" s="18">
        <f t="shared" si="3"/>
        <v>0</v>
      </c>
      <c r="T95" s="18">
        <f t="shared" si="3"/>
        <v>0</v>
      </c>
      <c r="U95" s="18">
        <f t="shared" si="3"/>
        <v>0</v>
      </c>
      <c r="V95" s="18"/>
      <c r="W95" s="18"/>
    </row>
    <row r="96" spans="1:25">
      <c r="A96" s="12" t="s">
        <v>111</v>
      </c>
      <c r="B96" s="13" t="s">
        <v>78</v>
      </c>
      <c r="C96" s="18">
        <f>C7-C52</f>
        <v>0</v>
      </c>
      <c r="D96" s="18">
        <f t="shared" ref="D96:L96" si="6">D7-D52</f>
        <v>0</v>
      </c>
      <c r="E96" s="18">
        <f t="shared" si="6"/>
        <v>0</v>
      </c>
      <c r="F96" s="18">
        <f t="shared" si="6"/>
        <v>0</v>
      </c>
      <c r="G96" s="18">
        <f t="shared" si="6"/>
        <v>0</v>
      </c>
      <c r="H96" s="18">
        <f t="shared" si="6"/>
        <v>0</v>
      </c>
      <c r="I96" s="18">
        <f t="shared" si="6"/>
        <v>0</v>
      </c>
      <c r="J96" s="18">
        <f t="shared" si="6"/>
        <v>0</v>
      </c>
      <c r="K96" s="18">
        <f t="shared" si="6"/>
        <v>0</v>
      </c>
      <c r="L96" s="18">
        <f t="shared" si="6"/>
        <v>0</v>
      </c>
      <c r="M96" s="18">
        <f t="shared" ref="M96:Q96" si="7">M7-M52</f>
        <v>0</v>
      </c>
      <c r="N96" s="18">
        <f t="shared" si="7"/>
        <v>0</v>
      </c>
      <c r="O96" s="18">
        <f t="shared" si="7"/>
        <v>0</v>
      </c>
      <c r="P96" s="18">
        <f t="shared" si="7"/>
        <v>0</v>
      </c>
      <c r="Q96" s="18">
        <f t="shared" si="7"/>
        <v>0</v>
      </c>
      <c r="R96" s="18">
        <f t="shared" si="3"/>
        <v>0</v>
      </c>
      <c r="S96" s="18">
        <f t="shared" si="3"/>
        <v>0</v>
      </c>
      <c r="T96" s="18">
        <f t="shared" si="3"/>
        <v>0</v>
      </c>
      <c r="U96" s="18">
        <f t="shared" si="3"/>
        <v>0</v>
      </c>
      <c r="V96" s="18"/>
      <c r="W96" s="18"/>
    </row>
    <row r="97" spans="1:23" ht="22.5">
      <c r="A97" s="12" t="s">
        <v>112</v>
      </c>
      <c r="B97" s="13" t="s">
        <v>113</v>
      </c>
      <c r="C97" s="18">
        <f>C8-C54</f>
        <v>0</v>
      </c>
      <c r="D97" s="18">
        <f t="shared" ref="D97:Q100" si="8">D8-D54</f>
        <v>0</v>
      </c>
      <c r="E97" s="18">
        <f t="shared" si="8"/>
        <v>0</v>
      </c>
      <c r="F97" s="18">
        <f t="shared" si="8"/>
        <v>0</v>
      </c>
      <c r="G97" s="18">
        <f t="shared" si="8"/>
        <v>0</v>
      </c>
      <c r="H97" s="18">
        <f t="shared" si="8"/>
        <v>0</v>
      </c>
      <c r="I97" s="18">
        <f t="shared" si="8"/>
        <v>0</v>
      </c>
      <c r="J97" s="18">
        <f t="shared" si="8"/>
        <v>0</v>
      </c>
      <c r="K97" s="18">
        <f t="shared" si="8"/>
        <v>0</v>
      </c>
      <c r="L97" s="18">
        <f t="shared" si="8"/>
        <v>0</v>
      </c>
      <c r="M97" s="18">
        <f t="shared" si="8"/>
        <v>0</v>
      </c>
      <c r="N97" s="18">
        <f t="shared" si="8"/>
        <v>0</v>
      </c>
      <c r="O97" s="18">
        <f t="shared" si="8"/>
        <v>0</v>
      </c>
      <c r="P97" s="18">
        <f t="shared" si="8"/>
        <v>0</v>
      </c>
      <c r="Q97" s="18">
        <f t="shared" si="8"/>
        <v>0</v>
      </c>
      <c r="R97" s="18">
        <f t="shared" ref="R97:U99" si="9">R8-R54</f>
        <v>0</v>
      </c>
      <c r="S97" s="18">
        <f t="shared" si="9"/>
        <v>0</v>
      </c>
      <c r="T97" s="18">
        <f t="shared" si="9"/>
        <v>0</v>
      </c>
      <c r="U97" s="18">
        <f t="shared" si="9"/>
        <v>0</v>
      </c>
      <c r="V97" s="18"/>
      <c r="W97" s="18"/>
    </row>
    <row r="98" spans="1:23">
      <c r="A98" s="12" t="s">
        <v>114</v>
      </c>
      <c r="B98" s="13" t="s">
        <v>115</v>
      </c>
      <c r="C98" s="18">
        <f t="shared" ref="C98:C113" si="10">C9-C55</f>
        <v>0</v>
      </c>
      <c r="D98" s="18">
        <f t="shared" si="8"/>
        <v>0</v>
      </c>
      <c r="E98" s="18">
        <f t="shared" si="8"/>
        <v>0</v>
      </c>
      <c r="F98" s="18">
        <f t="shared" si="8"/>
        <v>0</v>
      </c>
      <c r="G98" s="18">
        <f t="shared" si="8"/>
        <v>0</v>
      </c>
      <c r="H98" s="18">
        <f t="shared" si="8"/>
        <v>0</v>
      </c>
      <c r="I98" s="18">
        <f t="shared" si="8"/>
        <v>0</v>
      </c>
      <c r="J98" s="18">
        <f t="shared" si="8"/>
        <v>0</v>
      </c>
      <c r="K98" s="18">
        <f t="shared" si="8"/>
        <v>0</v>
      </c>
      <c r="L98" s="18">
        <f t="shared" si="8"/>
        <v>0</v>
      </c>
      <c r="M98" s="18">
        <f t="shared" si="8"/>
        <v>0</v>
      </c>
      <c r="N98" s="18">
        <f t="shared" si="8"/>
        <v>0</v>
      </c>
      <c r="O98" s="18">
        <f t="shared" si="8"/>
        <v>0</v>
      </c>
      <c r="P98" s="18">
        <f t="shared" si="8"/>
        <v>0</v>
      </c>
      <c r="Q98" s="18">
        <f t="shared" si="8"/>
        <v>0</v>
      </c>
      <c r="R98" s="18">
        <f t="shared" si="9"/>
        <v>0</v>
      </c>
      <c r="S98" s="18">
        <f t="shared" si="9"/>
        <v>0</v>
      </c>
      <c r="T98" s="18">
        <f t="shared" si="9"/>
        <v>0</v>
      </c>
      <c r="U98" s="18">
        <f t="shared" si="9"/>
        <v>0</v>
      </c>
      <c r="V98" s="18"/>
      <c r="W98" s="18"/>
    </row>
    <row r="99" spans="1:23">
      <c r="A99" s="12" t="s">
        <v>116</v>
      </c>
      <c r="B99" s="13" t="s">
        <v>117</v>
      </c>
      <c r="C99" s="18">
        <f t="shared" si="10"/>
        <v>0</v>
      </c>
      <c r="D99" s="18">
        <f t="shared" si="8"/>
        <v>0</v>
      </c>
      <c r="E99" s="18">
        <f t="shared" si="8"/>
        <v>0</v>
      </c>
      <c r="F99" s="18">
        <f t="shared" si="8"/>
        <v>0</v>
      </c>
      <c r="G99" s="18">
        <f t="shared" si="8"/>
        <v>0</v>
      </c>
      <c r="H99" s="18">
        <f t="shared" si="8"/>
        <v>0</v>
      </c>
      <c r="I99" s="18">
        <f t="shared" si="8"/>
        <v>0</v>
      </c>
      <c r="J99" s="18">
        <f t="shared" si="8"/>
        <v>0</v>
      </c>
      <c r="K99" s="18">
        <f t="shared" si="8"/>
        <v>0</v>
      </c>
      <c r="L99" s="18">
        <f t="shared" si="8"/>
        <v>0</v>
      </c>
      <c r="M99" s="18">
        <f t="shared" si="8"/>
        <v>0</v>
      </c>
      <c r="N99" s="18">
        <f t="shared" si="8"/>
        <v>0</v>
      </c>
      <c r="O99" s="18">
        <f t="shared" si="8"/>
        <v>0</v>
      </c>
      <c r="P99" s="18">
        <f t="shared" si="8"/>
        <v>0</v>
      </c>
      <c r="Q99" s="18">
        <f t="shared" si="8"/>
        <v>0</v>
      </c>
      <c r="R99" s="18">
        <f t="shared" si="9"/>
        <v>0</v>
      </c>
      <c r="S99" s="18">
        <f t="shared" si="9"/>
        <v>0</v>
      </c>
      <c r="T99" s="18">
        <f t="shared" si="9"/>
        <v>0</v>
      </c>
      <c r="U99" s="18">
        <f t="shared" si="9"/>
        <v>0</v>
      </c>
      <c r="V99" s="18"/>
      <c r="W99" s="18"/>
    </row>
    <row r="100" spans="1:23">
      <c r="A100" s="12" t="s">
        <v>118</v>
      </c>
      <c r="B100" s="13" t="s">
        <v>119</v>
      </c>
      <c r="C100" s="18">
        <f t="shared" si="10"/>
        <v>0</v>
      </c>
      <c r="D100" s="18">
        <f t="shared" si="8"/>
        <v>0</v>
      </c>
      <c r="E100" s="18">
        <f t="shared" si="8"/>
        <v>0</v>
      </c>
      <c r="F100" s="18">
        <f t="shared" si="8"/>
        <v>0</v>
      </c>
      <c r="G100" s="18">
        <f t="shared" si="8"/>
        <v>0</v>
      </c>
      <c r="H100" s="18">
        <f t="shared" si="8"/>
        <v>0</v>
      </c>
      <c r="I100" s="18">
        <f t="shared" si="8"/>
        <v>0</v>
      </c>
      <c r="J100" s="18">
        <f t="shared" si="8"/>
        <v>0</v>
      </c>
      <c r="K100" s="18">
        <f t="shared" si="8"/>
        <v>0</v>
      </c>
      <c r="L100" s="18">
        <f t="shared" si="8"/>
        <v>0</v>
      </c>
      <c r="M100" s="18">
        <f t="shared" si="8"/>
        <v>0</v>
      </c>
      <c r="N100" s="18">
        <f t="shared" si="8"/>
        <v>0</v>
      </c>
      <c r="O100" s="18">
        <f t="shared" si="8"/>
        <v>0</v>
      </c>
      <c r="P100" s="18">
        <f t="shared" si="8"/>
        <v>0</v>
      </c>
      <c r="Q100" s="18">
        <f t="shared" ref="Q100:U106" si="11">Q11-Q57</f>
        <v>0</v>
      </c>
      <c r="R100" s="18">
        <f t="shared" si="11"/>
        <v>0</v>
      </c>
      <c r="S100" s="18">
        <f t="shared" si="11"/>
        <v>0</v>
      </c>
      <c r="T100" s="18">
        <f t="shared" si="11"/>
        <v>0</v>
      </c>
      <c r="U100" s="18">
        <f t="shared" si="11"/>
        <v>0</v>
      </c>
      <c r="V100" s="18"/>
      <c r="W100" s="18"/>
    </row>
    <row r="101" spans="1:23">
      <c r="A101" s="12" t="s">
        <v>120</v>
      </c>
      <c r="B101" s="13" t="s">
        <v>121</v>
      </c>
      <c r="C101" s="18">
        <f t="shared" si="10"/>
        <v>0</v>
      </c>
      <c r="D101" s="18">
        <f t="shared" ref="D101:U107" si="12">D12-D58</f>
        <v>0</v>
      </c>
      <c r="E101" s="18">
        <f t="shared" si="12"/>
        <v>0</v>
      </c>
      <c r="F101" s="18">
        <f t="shared" si="12"/>
        <v>0</v>
      </c>
      <c r="G101" s="18">
        <f t="shared" si="12"/>
        <v>0</v>
      </c>
      <c r="H101" s="18">
        <f t="shared" si="12"/>
        <v>0</v>
      </c>
      <c r="I101" s="18">
        <f t="shared" si="12"/>
        <v>0</v>
      </c>
      <c r="J101" s="18">
        <f t="shared" si="12"/>
        <v>0</v>
      </c>
      <c r="K101" s="18">
        <f t="shared" si="12"/>
        <v>0</v>
      </c>
      <c r="L101" s="18">
        <f t="shared" si="12"/>
        <v>0</v>
      </c>
      <c r="M101" s="18">
        <f t="shared" si="12"/>
        <v>0</v>
      </c>
      <c r="N101" s="18">
        <f t="shared" si="12"/>
        <v>0</v>
      </c>
      <c r="O101" s="18">
        <f t="shared" si="12"/>
        <v>0</v>
      </c>
      <c r="P101" s="18">
        <f t="shared" si="12"/>
        <v>0</v>
      </c>
      <c r="Q101" s="18">
        <f t="shared" si="12"/>
        <v>0</v>
      </c>
      <c r="R101" s="18">
        <f t="shared" si="11"/>
        <v>0</v>
      </c>
      <c r="S101" s="18">
        <f t="shared" si="11"/>
        <v>0</v>
      </c>
      <c r="T101" s="18">
        <f t="shared" si="11"/>
        <v>0</v>
      </c>
      <c r="U101" s="18">
        <f t="shared" si="11"/>
        <v>0</v>
      </c>
      <c r="V101" s="18"/>
      <c r="W101" s="18"/>
    </row>
    <row r="102" spans="1:23" ht="22.5">
      <c r="A102" s="12" t="s">
        <v>122</v>
      </c>
      <c r="B102" s="13" t="s">
        <v>123</v>
      </c>
      <c r="C102" s="18">
        <f t="shared" si="10"/>
        <v>0</v>
      </c>
      <c r="D102" s="18">
        <f t="shared" si="12"/>
        <v>0</v>
      </c>
      <c r="E102" s="18">
        <f t="shared" si="12"/>
        <v>0</v>
      </c>
      <c r="F102" s="18">
        <f t="shared" si="12"/>
        <v>0</v>
      </c>
      <c r="G102" s="18">
        <f t="shared" si="12"/>
        <v>0</v>
      </c>
      <c r="H102" s="18">
        <f t="shared" si="12"/>
        <v>0</v>
      </c>
      <c r="I102" s="18">
        <f t="shared" si="12"/>
        <v>0</v>
      </c>
      <c r="J102" s="18">
        <f t="shared" si="12"/>
        <v>0</v>
      </c>
      <c r="K102" s="18">
        <f t="shared" si="12"/>
        <v>0</v>
      </c>
      <c r="L102" s="18">
        <f t="shared" si="12"/>
        <v>0</v>
      </c>
      <c r="M102" s="18">
        <f t="shared" si="12"/>
        <v>0</v>
      </c>
      <c r="N102" s="18">
        <f t="shared" si="12"/>
        <v>0</v>
      </c>
      <c r="O102" s="18">
        <f t="shared" si="12"/>
        <v>0</v>
      </c>
      <c r="P102" s="18">
        <f t="shared" si="12"/>
        <v>0</v>
      </c>
      <c r="Q102" s="18">
        <f t="shared" si="12"/>
        <v>0</v>
      </c>
      <c r="R102" s="18">
        <f t="shared" si="11"/>
        <v>0</v>
      </c>
      <c r="S102" s="18">
        <f t="shared" si="11"/>
        <v>0</v>
      </c>
      <c r="T102" s="18">
        <f t="shared" si="11"/>
        <v>0</v>
      </c>
      <c r="U102" s="18">
        <f t="shared" si="11"/>
        <v>0</v>
      </c>
      <c r="V102" s="18"/>
      <c r="W102" s="18"/>
    </row>
    <row r="103" spans="1:23">
      <c r="A103" s="12" t="s">
        <v>124</v>
      </c>
      <c r="B103" s="13" t="s">
        <v>125</v>
      </c>
      <c r="C103" s="18">
        <f t="shared" si="10"/>
        <v>0</v>
      </c>
      <c r="D103" s="18">
        <f t="shared" si="12"/>
        <v>0</v>
      </c>
      <c r="E103" s="18">
        <f t="shared" si="12"/>
        <v>0</v>
      </c>
      <c r="F103" s="18">
        <f t="shared" si="12"/>
        <v>0</v>
      </c>
      <c r="G103" s="18">
        <f t="shared" si="12"/>
        <v>0</v>
      </c>
      <c r="H103" s="18">
        <f t="shared" si="12"/>
        <v>0</v>
      </c>
      <c r="I103" s="18">
        <f t="shared" si="12"/>
        <v>0</v>
      </c>
      <c r="J103" s="18">
        <f t="shared" si="12"/>
        <v>0</v>
      </c>
      <c r="K103" s="18">
        <f t="shared" si="12"/>
        <v>0</v>
      </c>
      <c r="L103" s="18">
        <f t="shared" si="12"/>
        <v>0</v>
      </c>
      <c r="M103" s="18">
        <f t="shared" si="12"/>
        <v>0</v>
      </c>
      <c r="N103" s="18">
        <f t="shared" si="12"/>
        <v>0</v>
      </c>
      <c r="O103" s="18">
        <f t="shared" si="12"/>
        <v>0</v>
      </c>
      <c r="P103" s="18">
        <f t="shared" si="12"/>
        <v>0</v>
      </c>
      <c r="Q103" s="18">
        <f t="shared" si="12"/>
        <v>0</v>
      </c>
      <c r="R103" s="18">
        <f t="shared" si="11"/>
        <v>0</v>
      </c>
      <c r="S103" s="18">
        <f t="shared" si="11"/>
        <v>0</v>
      </c>
      <c r="T103" s="18">
        <f t="shared" si="11"/>
        <v>0</v>
      </c>
      <c r="U103" s="18">
        <f t="shared" si="11"/>
        <v>0</v>
      </c>
      <c r="V103" s="18"/>
      <c r="W103" s="18"/>
    </row>
    <row r="104" spans="1:23">
      <c r="A104" s="12" t="s">
        <v>126</v>
      </c>
      <c r="B104" s="13" t="s">
        <v>127</v>
      </c>
      <c r="C104" s="18">
        <f t="shared" si="10"/>
        <v>0</v>
      </c>
      <c r="D104" s="18">
        <f t="shared" si="12"/>
        <v>0</v>
      </c>
      <c r="E104" s="18">
        <f t="shared" si="12"/>
        <v>0</v>
      </c>
      <c r="F104" s="18">
        <f t="shared" si="12"/>
        <v>0</v>
      </c>
      <c r="G104" s="18">
        <f t="shared" si="12"/>
        <v>0</v>
      </c>
      <c r="H104" s="18">
        <f t="shared" si="12"/>
        <v>0</v>
      </c>
      <c r="I104" s="18">
        <f t="shared" si="12"/>
        <v>0</v>
      </c>
      <c r="J104" s="18">
        <f t="shared" si="12"/>
        <v>0</v>
      </c>
      <c r="K104" s="18">
        <f t="shared" si="12"/>
        <v>0</v>
      </c>
      <c r="L104" s="18">
        <f t="shared" si="12"/>
        <v>0</v>
      </c>
      <c r="M104" s="18">
        <f t="shared" si="12"/>
        <v>0</v>
      </c>
      <c r="N104" s="18">
        <f t="shared" si="12"/>
        <v>0</v>
      </c>
      <c r="O104" s="18">
        <f t="shared" si="12"/>
        <v>0</v>
      </c>
      <c r="P104" s="18">
        <f t="shared" si="12"/>
        <v>0</v>
      </c>
      <c r="Q104" s="18">
        <f t="shared" si="12"/>
        <v>0</v>
      </c>
      <c r="R104" s="18">
        <f t="shared" si="11"/>
        <v>0</v>
      </c>
      <c r="S104" s="18">
        <f t="shared" si="11"/>
        <v>0</v>
      </c>
      <c r="T104" s="18">
        <f t="shared" si="11"/>
        <v>0</v>
      </c>
      <c r="U104" s="18">
        <f t="shared" si="11"/>
        <v>0</v>
      </c>
      <c r="V104" s="18"/>
      <c r="W104" s="18"/>
    </row>
    <row r="105" spans="1:23">
      <c r="A105" s="12" t="s">
        <v>109</v>
      </c>
      <c r="B105" s="13" t="s">
        <v>128</v>
      </c>
      <c r="C105" s="18">
        <f t="shared" si="10"/>
        <v>0</v>
      </c>
      <c r="D105" s="18">
        <f t="shared" si="12"/>
        <v>0</v>
      </c>
      <c r="E105" s="18">
        <f t="shared" si="12"/>
        <v>0</v>
      </c>
      <c r="F105" s="18">
        <f t="shared" si="12"/>
        <v>0</v>
      </c>
      <c r="G105" s="18">
        <f t="shared" si="12"/>
        <v>0</v>
      </c>
      <c r="H105" s="18">
        <f t="shared" si="12"/>
        <v>0</v>
      </c>
      <c r="I105" s="18">
        <f t="shared" si="12"/>
        <v>0</v>
      </c>
      <c r="J105" s="18">
        <f t="shared" si="12"/>
        <v>0</v>
      </c>
      <c r="K105" s="18">
        <f t="shared" si="12"/>
        <v>0</v>
      </c>
      <c r="L105" s="18">
        <f t="shared" si="12"/>
        <v>0</v>
      </c>
      <c r="M105" s="18">
        <f t="shared" si="12"/>
        <v>0</v>
      </c>
      <c r="N105" s="18">
        <f t="shared" si="12"/>
        <v>0</v>
      </c>
      <c r="O105" s="18">
        <f t="shared" si="12"/>
        <v>0</v>
      </c>
      <c r="P105" s="18">
        <f t="shared" si="12"/>
        <v>0</v>
      </c>
      <c r="Q105" s="18">
        <f t="shared" si="12"/>
        <v>0</v>
      </c>
      <c r="R105" s="18">
        <f t="shared" si="11"/>
        <v>0</v>
      </c>
      <c r="S105" s="18">
        <f t="shared" si="11"/>
        <v>0</v>
      </c>
      <c r="T105" s="18">
        <f t="shared" si="11"/>
        <v>0</v>
      </c>
      <c r="U105" s="18">
        <f t="shared" si="11"/>
        <v>0</v>
      </c>
      <c r="V105" s="18"/>
      <c r="W105" s="18"/>
    </row>
    <row r="106" spans="1:23">
      <c r="A106" s="12" t="s">
        <v>120</v>
      </c>
      <c r="B106" s="13" t="s">
        <v>129</v>
      </c>
      <c r="C106" s="18">
        <f t="shared" si="10"/>
        <v>0</v>
      </c>
      <c r="D106" s="18">
        <f t="shared" si="12"/>
        <v>0</v>
      </c>
      <c r="E106" s="18">
        <f t="shared" si="12"/>
        <v>0</v>
      </c>
      <c r="F106" s="18">
        <f t="shared" si="12"/>
        <v>0</v>
      </c>
      <c r="G106" s="18">
        <f t="shared" si="12"/>
        <v>0</v>
      </c>
      <c r="H106" s="18">
        <f t="shared" si="12"/>
        <v>0</v>
      </c>
      <c r="I106" s="18">
        <f t="shared" si="12"/>
        <v>0</v>
      </c>
      <c r="J106" s="18">
        <f t="shared" si="12"/>
        <v>0</v>
      </c>
      <c r="K106" s="18">
        <f t="shared" si="12"/>
        <v>0</v>
      </c>
      <c r="L106" s="18">
        <f t="shared" si="12"/>
        <v>0</v>
      </c>
      <c r="M106" s="18">
        <f t="shared" si="12"/>
        <v>0</v>
      </c>
      <c r="N106" s="18">
        <f t="shared" si="12"/>
        <v>0</v>
      </c>
      <c r="O106" s="18">
        <f t="shared" si="12"/>
        <v>0</v>
      </c>
      <c r="P106" s="18">
        <f t="shared" si="12"/>
        <v>0</v>
      </c>
      <c r="Q106" s="18">
        <f t="shared" si="12"/>
        <v>0</v>
      </c>
      <c r="R106" s="18">
        <f t="shared" si="11"/>
        <v>0</v>
      </c>
      <c r="S106" s="18">
        <f t="shared" si="11"/>
        <v>0</v>
      </c>
      <c r="T106" s="18">
        <f t="shared" si="11"/>
        <v>0</v>
      </c>
      <c r="U106" s="18">
        <f t="shared" si="11"/>
        <v>0</v>
      </c>
      <c r="V106" s="18"/>
      <c r="W106" s="18"/>
    </row>
    <row r="107" spans="1:23">
      <c r="A107" s="12" t="s">
        <v>122</v>
      </c>
      <c r="B107" s="13" t="s">
        <v>130</v>
      </c>
      <c r="C107" s="18">
        <f t="shared" si="10"/>
        <v>0</v>
      </c>
      <c r="D107" s="18">
        <f t="shared" si="12"/>
        <v>0</v>
      </c>
      <c r="E107" s="18">
        <f t="shared" si="12"/>
        <v>0</v>
      </c>
      <c r="F107" s="18">
        <f t="shared" si="12"/>
        <v>0</v>
      </c>
      <c r="G107" s="18">
        <f t="shared" si="12"/>
        <v>0</v>
      </c>
      <c r="H107" s="18">
        <f t="shared" si="12"/>
        <v>0</v>
      </c>
      <c r="I107" s="18">
        <f t="shared" si="12"/>
        <v>0</v>
      </c>
      <c r="J107" s="18">
        <f t="shared" si="12"/>
        <v>0</v>
      </c>
      <c r="K107" s="18">
        <f t="shared" si="12"/>
        <v>0</v>
      </c>
      <c r="L107" s="18">
        <f t="shared" si="12"/>
        <v>0</v>
      </c>
      <c r="M107" s="18">
        <f t="shared" si="12"/>
        <v>0</v>
      </c>
      <c r="N107" s="18">
        <f t="shared" si="12"/>
        <v>0</v>
      </c>
      <c r="O107" s="18">
        <f t="shared" si="12"/>
        <v>0</v>
      </c>
      <c r="P107" s="18">
        <f t="shared" si="12"/>
        <v>0</v>
      </c>
      <c r="Q107" s="18">
        <f t="shared" si="12"/>
        <v>0</v>
      </c>
      <c r="R107" s="18">
        <f t="shared" si="12"/>
        <v>0</v>
      </c>
      <c r="S107" s="18">
        <f t="shared" si="12"/>
        <v>0</v>
      </c>
      <c r="T107" s="18">
        <f t="shared" si="12"/>
        <v>0</v>
      </c>
      <c r="U107" s="18">
        <f t="shared" si="12"/>
        <v>0</v>
      </c>
      <c r="V107" s="18"/>
      <c r="W107" s="18"/>
    </row>
    <row r="108" spans="1:23">
      <c r="A108" s="12" t="s">
        <v>131</v>
      </c>
      <c r="B108" s="13" t="s">
        <v>132</v>
      </c>
      <c r="C108" s="18">
        <f t="shared" si="10"/>
        <v>0</v>
      </c>
      <c r="D108" s="18">
        <f t="shared" ref="D108:U120" si="13">D19-D65</f>
        <v>0</v>
      </c>
      <c r="E108" s="18">
        <f t="shared" si="13"/>
        <v>0</v>
      </c>
      <c r="F108" s="18">
        <f t="shared" si="13"/>
        <v>0</v>
      </c>
      <c r="G108" s="18">
        <f t="shared" si="13"/>
        <v>0</v>
      </c>
      <c r="H108" s="18">
        <f t="shared" si="13"/>
        <v>0</v>
      </c>
      <c r="I108" s="18">
        <f t="shared" si="13"/>
        <v>0</v>
      </c>
      <c r="J108" s="18">
        <f t="shared" si="13"/>
        <v>0</v>
      </c>
      <c r="K108" s="18">
        <f t="shared" si="13"/>
        <v>0</v>
      </c>
      <c r="L108" s="18">
        <f t="shared" si="13"/>
        <v>0</v>
      </c>
      <c r="M108" s="18">
        <f t="shared" si="13"/>
        <v>0</v>
      </c>
      <c r="N108" s="18">
        <f t="shared" si="13"/>
        <v>0</v>
      </c>
      <c r="O108" s="18">
        <f t="shared" si="13"/>
        <v>0</v>
      </c>
      <c r="P108" s="18">
        <f t="shared" si="13"/>
        <v>0</v>
      </c>
      <c r="Q108" s="18">
        <f t="shared" si="13"/>
        <v>0</v>
      </c>
      <c r="R108" s="18">
        <f t="shared" ref="R108:U113" si="14">R19-R65</f>
        <v>0</v>
      </c>
      <c r="S108" s="18">
        <f t="shared" si="14"/>
        <v>0</v>
      </c>
      <c r="T108" s="18">
        <f t="shared" si="14"/>
        <v>0</v>
      </c>
      <c r="U108" s="18">
        <f t="shared" si="14"/>
        <v>0</v>
      </c>
      <c r="V108" s="18"/>
      <c r="W108" s="18"/>
    </row>
    <row r="109" spans="1:23">
      <c r="A109" s="12" t="s">
        <v>133</v>
      </c>
      <c r="B109" s="13" t="s">
        <v>134</v>
      </c>
      <c r="C109" s="18">
        <f t="shared" si="10"/>
        <v>0</v>
      </c>
      <c r="D109" s="18">
        <f t="shared" si="13"/>
        <v>0</v>
      </c>
      <c r="E109" s="18">
        <f t="shared" si="13"/>
        <v>0</v>
      </c>
      <c r="F109" s="18">
        <f t="shared" si="13"/>
        <v>0</v>
      </c>
      <c r="G109" s="18">
        <f t="shared" si="13"/>
        <v>0</v>
      </c>
      <c r="H109" s="18">
        <f t="shared" si="13"/>
        <v>0</v>
      </c>
      <c r="I109" s="18">
        <f t="shared" si="13"/>
        <v>0</v>
      </c>
      <c r="J109" s="18">
        <f t="shared" si="13"/>
        <v>0</v>
      </c>
      <c r="K109" s="18">
        <f t="shared" si="13"/>
        <v>0</v>
      </c>
      <c r="L109" s="18">
        <f t="shared" si="13"/>
        <v>0</v>
      </c>
      <c r="M109" s="18">
        <f t="shared" si="13"/>
        <v>0</v>
      </c>
      <c r="N109" s="18">
        <f t="shared" si="13"/>
        <v>0</v>
      </c>
      <c r="O109" s="18">
        <f t="shared" si="13"/>
        <v>0</v>
      </c>
      <c r="P109" s="18">
        <f t="shared" si="13"/>
        <v>0</v>
      </c>
      <c r="Q109" s="18">
        <f t="shared" si="13"/>
        <v>0</v>
      </c>
      <c r="R109" s="18">
        <f t="shared" si="14"/>
        <v>0</v>
      </c>
      <c r="S109" s="18">
        <f t="shared" si="14"/>
        <v>0</v>
      </c>
      <c r="T109" s="18">
        <f t="shared" si="14"/>
        <v>0</v>
      </c>
      <c r="U109" s="18">
        <f t="shared" si="14"/>
        <v>0</v>
      </c>
      <c r="V109" s="18"/>
      <c r="W109" s="18"/>
    </row>
    <row r="110" spans="1:23">
      <c r="A110" s="8" t="s">
        <v>135</v>
      </c>
      <c r="B110" s="9" t="s">
        <v>136</v>
      </c>
      <c r="C110" s="18">
        <f t="shared" si="10"/>
        <v>0</v>
      </c>
      <c r="D110" s="18">
        <f t="shared" ref="D110:P114" si="15">D21-D67</f>
        <v>0</v>
      </c>
      <c r="E110" s="18">
        <f t="shared" si="15"/>
        <v>0</v>
      </c>
      <c r="F110" s="18">
        <f t="shared" si="15"/>
        <v>0</v>
      </c>
      <c r="G110" s="18">
        <f t="shared" si="15"/>
        <v>0</v>
      </c>
      <c r="H110" s="18">
        <f t="shared" si="15"/>
        <v>0</v>
      </c>
      <c r="I110" s="18">
        <f t="shared" si="15"/>
        <v>0</v>
      </c>
      <c r="J110" s="18">
        <f t="shared" si="15"/>
        <v>0</v>
      </c>
      <c r="K110" s="18">
        <f t="shared" si="15"/>
        <v>0</v>
      </c>
      <c r="L110" s="18">
        <f t="shared" si="15"/>
        <v>0</v>
      </c>
      <c r="M110" s="18">
        <f t="shared" si="15"/>
        <v>0</v>
      </c>
      <c r="N110" s="18">
        <f t="shared" si="15"/>
        <v>0</v>
      </c>
      <c r="O110" s="18">
        <f t="shared" si="15"/>
        <v>0</v>
      </c>
      <c r="P110" s="18">
        <f t="shared" si="15"/>
        <v>0</v>
      </c>
      <c r="Q110" s="18">
        <f t="shared" si="13"/>
        <v>0</v>
      </c>
      <c r="R110" s="18">
        <f t="shared" si="14"/>
        <v>0</v>
      </c>
      <c r="S110" s="18">
        <f t="shared" si="14"/>
        <v>0</v>
      </c>
      <c r="T110" s="18">
        <f t="shared" si="14"/>
        <v>0</v>
      </c>
      <c r="U110" s="18">
        <f t="shared" si="14"/>
        <v>0</v>
      </c>
      <c r="V110" s="18"/>
      <c r="W110" s="18"/>
    </row>
    <row r="111" spans="1:23">
      <c r="A111" s="12" t="s">
        <v>105</v>
      </c>
      <c r="B111" s="13" t="s">
        <v>137</v>
      </c>
      <c r="C111" s="18">
        <f t="shared" si="10"/>
        <v>0</v>
      </c>
      <c r="D111" s="18">
        <f t="shared" si="15"/>
        <v>0</v>
      </c>
      <c r="E111" s="18">
        <f t="shared" si="15"/>
        <v>0</v>
      </c>
      <c r="F111" s="18">
        <f t="shared" si="15"/>
        <v>0</v>
      </c>
      <c r="G111" s="18">
        <f t="shared" si="15"/>
        <v>0</v>
      </c>
      <c r="H111" s="18">
        <f t="shared" si="15"/>
        <v>0</v>
      </c>
      <c r="I111" s="18">
        <f t="shared" si="15"/>
        <v>0</v>
      </c>
      <c r="J111" s="18">
        <f t="shared" si="15"/>
        <v>0</v>
      </c>
      <c r="K111" s="18">
        <f t="shared" si="15"/>
        <v>0</v>
      </c>
      <c r="L111" s="18">
        <f t="shared" si="15"/>
        <v>0</v>
      </c>
      <c r="M111" s="18">
        <f t="shared" si="15"/>
        <v>0</v>
      </c>
      <c r="N111" s="18">
        <f t="shared" si="15"/>
        <v>0</v>
      </c>
      <c r="O111" s="18">
        <f t="shared" si="15"/>
        <v>0</v>
      </c>
      <c r="P111" s="18">
        <f t="shared" si="15"/>
        <v>0</v>
      </c>
      <c r="Q111" s="18">
        <f t="shared" si="13"/>
        <v>0</v>
      </c>
      <c r="R111" s="18">
        <f t="shared" si="14"/>
        <v>0</v>
      </c>
      <c r="S111" s="18">
        <f t="shared" si="14"/>
        <v>0</v>
      </c>
      <c r="T111" s="18">
        <f t="shared" si="14"/>
        <v>0</v>
      </c>
      <c r="U111" s="18">
        <f t="shared" si="14"/>
        <v>0</v>
      </c>
      <c r="V111" s="18"/>
      <c r="W111" s="18"/>
    </row>
    <row r="112" spans="1:23">
      <c r="A112" s="12" t="s">
        <v>109</v>
      </c>
      <c r="B112" s="13" t="s">
        <v>138</v>
      </c>
      <c r="C112" s="18">
        <f t="shared" si="10"/>
        <v>0</v>
      </c>
      <c r="D112" s="18">
        <f t="shared" si="15"/>
        <v>0</v>
      </c>
      <c r="E112" s="18">
        <f t="shared" si="15"/>
        <v>0</v>
      </c>
      <c r="F112" s="18">
        <f t="shared" si="15"/>
        <v>0</v>
      </c>
      <c r="G112" s="18">
        <f t="shared" si="15"/>
        <v>0</v>
      </c>
      <c r="H112" s="18">
        <f t="shared" si="15"/>
        <v>0</v>
      </c>
      <c r="I112" s="18">
        <f t="shared" si="15"/>
        <v>0</v>
      </c>
      <c r="J112" s="18">
        <f t="shared" si="15"/>
        <v>0</v>
      </c>
      <c r="K112" s="18">
        <f t="shared" si="15"/>
        <v>0</v>
      </c>
      <c r="L112" s="18">
        <f t="shared" si="15"/>
        <v>0</v>
      </c>
      <c r="M112" s="18">
        <f t="shared" si="15"/>
        <v>0</v>
      </c>
      <c r="N112" s="18">
        <f t="shared" si="15"/>
        <v>0</v>
      </c>
      <c r="O112" s="18">
        <f t="shared" si="15"/>
        <v>0</v>
      </c>
      <c r="P112" s="18">
        <f t="shared" si="15"/>
        <v>0</v>
      </c>
      <c r="Q112" s="18">
        <f t="shared" si="13"/>
        <v>0</v>
      </c>
      <c r="R112" s="18">
        <f t="shared" si="14"/>
        <v>0</v>
      </c>
      <c r="S112" s="18">
        <f t="shared" si="14"/>
        <v>0</v>
      </c>
      <c r="T112" s="18">
        <f t="shared" si="14"/>
        <v>0</v>
      </c>
      <c r="U112" s="18">
        <f t="shared" si="14"/>
        <v>0</v>
      </c>
      <c r="V112" s="18"/>
      <c r="W112" s="18"/>
    </row>
    <row r="113" spans="1:23">
      <c r="A113" s="12" t="s">
        <v>120</v>
      </c>
      <c r="B113" s="13" t="s">
        <v>139</v>
      </c>
      <c r="C113" s="18">
        <f t="shared" si="10"/>
        <v>0</v>
      </c>
      <c r="D113" s="18">
        <f t="shared" si="15"/>
        <v>0</v>
      </c>
      <c r="E113" s="18">
        <f t="shared" si="15"/>
        <v>0</v>
      </c>
      <c r="F113" s="18">
        <f t="shared" si="15"/>
        <v>0</v>
      </c>
      <c r="G113" s="18">
        <f t="shared" si="15"/>
        <v>0</v>
      </c>
      <c r="H113" s="18">
        <f t="shared" si="15"/>
        <v>0</v>
      </c>
      <c r="I113" s="18">
        <f t="shared" si="15"/>
        <v>0</v>
      </c>
      <c r="J113" s="18">
        <f t="shared" si="15"/>
        <v>0</v>
      </c>
      <c r="K113" s="18">
        <f t="shared" si="15"/>
        <v>0</v>
      </c>
      <c r="L113" s="18">
        <f t="shared" si="15"/>
        <v>0</v>
      </c>
      <c r="M113" s="18">
        <f t="shared" si="15"/>
        <v>0</v>
      </c>
      <c r="N113" s="18">
        <f t="shared" si="15"/>
        <v>0</v>
      </c>
      <c r="O113" s="18">
        <f t="shared" si="15"/>
        <v>0</v>
      </c>
      <c r="P113" s="18">
        <f t="shared" si="15"/>
        <v>0</v>
      </c>
      <c r="Q113" s="18">
        <f t="shared" si="13"/>
        <v>0</v>
      </c>
      <c r="R113" s="18">
        <f t="shared" si="14"/>
        <v>0</v>
      </c>
      <c r="S113" s="18">
        <f t="shared" si="14"/>
        <v>0</v>
      </c>
      <c r="T113" s="18">
        <f t="shared" si="14"/>
        <v>0</v>
      </c>
      <c r="U113" s="18">
        <f t="shared" si="14"/>
        <v>0</v>
      </c>
      <c r="V113" s="18"/>
      <c r="W113" s="18"/>
    </row>
    <row r="114" spans="1:23">
      <c r="A114" s="12" t="s">
        <v>122</v>
      </c>
      <c r="B114" s="13" t="s">
        <v>140</v>
      </c>
      <c r="C114" s="18">
        <f t="shared" ref="C114:C117" si="16">C25-C71</f>
        <v>0</v>
      </c>
      <c r="D114" s="18">
        <f t="shared" si="15"/>
        <v>0</v>
      </c>
      <c r="E114" s="18">
        <f t="shared" si="15"/>
        <v>0</v>
      </c>
      <c r="F114" s="18">
        <f t="shared" si="15"/>
        <v>0</v>
      </c>
      <c r="G114" s="18">
        <f t="shared" si="15"/>
        <v>0</v>
      </c>
      <c r="H114" s="18">
        <f t="shared" si="15"/>
        <v>0</v>
      </c>
      <c r="I114" s="18">
        <f t="shared" si="15"/>
        <v>0</v>
      </c>
      <c r="J114" s="18">
        <f t="shared" si="15"/>
        <v>0</v>
      </c>
      <c r="K114" s="18">
        <f t="shared" si="15"/>
        <v>0</v>
      </c>
      <c r="L114" s="18">
        <f t="shared" si="15"/>
        <v>0</v>
      </c>
      <c r="M114" s="18">
        <f t="shared" si="15"/>
        <v>0</v>
      </c>
      <c r="N114" s="18">
        <f t="shared" si="15"/>
        <v>0</v>
      </c>
      <c r="O114" s="18">
        <f t="shared" si="15"/>
        <v>0</v>
      </c>
      <c r="P114" s="18">
        <f t="shared" si="15"/>
        <v>0</v>
      </c>
      <c r="Q114" s="18">
        <f t="shared" si="13"/>
        <v>0</v>
      </c>
      <c r="R114" s="18">
        <f t="shared" si="13"/>
        <v>0</v>
      </c>
      <c r="S114" s="18">
        <f t="shared" si="13"/>
        <v>0</v>
      </c>
      <c r="T114" s="18">
        <f t="shared" si="13"/>
        <v>0</v>
      </c>
      <c r="U114" s="18">
        <f t="shared" si="13"/>
        <v>0</v>
      </c>
      <c r="V114" s="18"/>
      <c r="W114" s="18"/>
    </row>
    <row r="115" spans="1:23">
      <c r="A115" s="12" t="s">
        <v>141</v>
      </c>
      <c r="B115" s="13" t="s">
        <v>142</v>
      </c>
      <c r="C115" s="18">
        <f t="shared" si="16"/>
        <v>0</v>
      </c>
      <c r="D115" s="18">
        <f t="shared" ref="D115:P115" si="17">D26-D72</f>
        <v>0</v>
      </c>
      <c r="E115" s="18">
        <f t="shared" si="17"/>
        <v>0</v>
      </c>
      <c r="F115" s="18">
        <f t="shared" si="17"/>
        <v>0</v>
      </c>
      <c r="G115" s="18">
        <f t="shared" si="17"/>
        <v>0</v>
      </c>
      <c r="H115" s="18">
        <f t="shared" si="17"/>
        <v>0</v>
      </c>
      <c r="I115" s="18">
        <f t="shared" si="17"/>
        <v>0</v>
      </c>
      <c r="J115" s="18">
        <f t="shared" si="17"/>
        <v>0</v>
      </c>
      <c r="K115" s="18">
        <f t="shared" si="17"/>
        <v>0</v>
      </c>
      <c r="L115" s="18">
        <f t="shared" si="17"/>
        <v>0</v>
      </c>
      <c r="M115" s="18">
        <f t="shared" si="17"/>
        <v>0</v>
      </c>
      <c r="N115" s="18">
        <f t="shared" si="17"/>
        <v>0</v>
      </c>
      <c r="O115" s="18">
        <f t="shared" si="17"/>
        <v>0</v>
      </c>
      <c r="P115" s="18">
        <f t="shared" si="17"/>
        <v>0</v>
      </c>
      <c r="Q115" s="18">
        <f t="shared" si="13"/>
        <v>0</v>
      </c>
      <c r="R115" s="18">
        <f t="shared" si="13"/>
        <v>0</v>
      </c>
      <c r="S115" s="18">
        <f t="shared" si="13"/>
        <v>0</v>
      </c>
      <c r="T115" s="18">
        <f t="shared" si="13"/>
        <v>0</v>
      </c>
      <c r="U115" s="18">
        <f t="shared" si="13"/>
        <v>0</v>
      </c>
      <c r="V115" s="18"/>
      <c r="W115" s="18"/>
    </row>
    <row r="116" spans="1:23">
      <c r="A116" s="12" t="s">
        <v>107</v>
      </c>
      <c r="B116" s="13" t="s">
        <v>143</v>
      </c>
      <c r="C116" s="18">
        <f t="shared" si="16"/>
        <v>0</v>
      </c>
      <c r="D116" s="18">
        <f t="shared" ref="D116:P131" si="18">D27-D73</f>
        <v>0</v>
      </c>
      <c r="E116" s="18">
        <f t="shared" si="18"/>
        <v>0</v>
      </c>
      <c r="F116" s="18">
        <f t="shared" si="18"/>
        <v>0</v>
      </c>
      <c r="G116" s="18">
        <f t="shared" si="18"/>
        <v>0</v>
      </c>
      <c r="H116" s="18">
        <f t="shared" si="18"/>
        <v>0</v>
      </c>
      <c r="I116" s="18">
        <f t="shared" si="18"/>
        <v>0</v>
      </c>
      <c r="J116" s="18">
        <f t="shared" si="18"/>
        <v>0</v>
      </c>
      <c r="K116" s="18">
        <f t="shared" si="18"/>
        <v>0</v>
      </c>
      <c r="L116" s="18">
        <f t="shared" si="18"/>
        <v>0</v>
      </c>
      <c r="M116" s="18">
        <f t="shared" si="18"/>
        <v>0</v>
      </c>
      <c r="N116" s="18">
        <f t="shared" si="18"/>
        <v>0</v>
      </c>
      <c r="O116" s="18">
        <f t="shared" si="18"/>
        <v>0</v>
      </c>
      <c r="P116" s="18">
        <f t="shared" si="18"/>
        <v>0</v>
      </c>
      <c r="Q116" s="18">
        <f t="shared" si="13"/>
        <v>0</v>
      </c>
      <c r="R116" s="18">
        <f t="shared" si="13"/>
        <v>0</v>
      </c>
      <c r="S116" s="18">
        <f t="shared" si="13"/>
        <v>0</v>
      </c>
      <c r="T116" s="18">
        <f t="shared" si="13"/>
        <v>0</v>
      </c>
      <c r="U116" s="18">
        <f t="shared" si="13"/>
        <v>0</v>
      </c>
      <c r="V116" s="18"/>
      <c r="W116" s="18"/>
    </row>
    <row r="117" spans="1:23">
      <c r="A117" s="12" t="s">
        <v>109</v>
      </c>
      <c r="B117" s="13" t="s">
        <v>144</v>
      </c>
      <c r="C117" s="18">
        <f t="shared" si="16"/>
        <v>0</v>
      </c>
      <c r="D117" s="18">
        <f t="shared" si="18"/>
        <v>0</v>
      </c>
      <c r="E117" s="18">
        <f t="shared" si="18"/>
        <v>0</v>
      </c>
      <c r="F117" s="18">
        <f t="shared" si="18"/>
        <v>0</v>
      </c>
      <c r="G117" s="18">
        <f t="shared" si="18"/>
        <v>0</v>
      </c>
      <c r="H117" s="18">
        <f t="shared" si="18"/>
        <v>0</v>
      </c>
      <c r="I117" s="18">
        <f t="shared" si="18"/>
        <v>0</v>
      </c>
      <c r="J117" s="18">
        <f t="shared" si="18"/>
        <v>0</v>
      </c>
      <c r="K117" s="18">
        <f t="shared" si="18"/>
        <v>0</v>
      </c>
      <c r="L117" s="18">
        <f t="shared" si="18"/>
        <v>0</v>
      </c>
      <c r="M117" s="18">
        <f t="shared" si="18"/>
        <v>0</v>
      </c>
      <c r="N117" s="18">
        <f t="shared" si="18"/>
        <v>0</v>
      </c>
      <c r="O117" s="18">
        <f t="shared" si="18"/>
        <v>0</v>
      </c>
      <c r="P117" s="18">
        <f t="shared" si="18"/>
        <v>0</v>
      </c>
      <c r="Q117" s="18">
        <f t="shared" si="13"/>
        <v>0</v>
      </c>
      <c r="R117" s="18">
        <f t="shared" si="13"/>
        <v>0</v>
      </c>
      <c r="S117" s="18">
        <f t="shared" si="13"/>
        <v>0</v>
      </c>
      <c r="T117" s="18">
        <f t="shared" si="13"/>
        <v>0</v>
      </c>
      <c r="U117" s="18">
        <f t="shared" si="13"/>
        <v>0</v>
      </c>
      <c r="V117" s="18"/>
      <c r="W117" s="18"/>
    </row>
    <row r="118" spans="1:23">
      <c r="A118" s="12" t="s">
        <v>120</v>
      </c>
      <c r="B118" s="13" t="s">
        <v>145</v>
      </c>
      <c r="C118" s="18">
        <f t="shared" ref="C118:C121" si="19">C29-C75</f>
        <v>0</v>
      </c>
      <c r="D118" s="18">
        <f t="shared" ref="D118:O121" si="20">D29-D75</f>
        <v>0</v>
      </c>
      <c r="E118" s="18">
        <f t="shared" si="20"/>
        <v>0</v>
      </c>
      <c r="F118" s="18">
        <f t="shared" si="20"/>
        <v>0</v>
      </c>
      <c r="G118" s="18">
        <f t="shared" si="20"/>
        <v>0</v>
      </c>
      <c r="H118" s="18">
        <f t="shared" si="20"/>
        <v>0</v>
      </c>
      <c r="I118" s="18">
        <f t="shared" si="20"/>
        <v>0</v>
      </c>
      <c r="J118" s="18">
        <f t="shared" si="20"/>
        <v>0</v>
      </c>
      <c r="K118" s="18">
        <f t="shared" si="20"/>
        <v>0</v>
      </c>
      <c r="L118" s="18">
        <f t="shared" si="20"/>
        <v>0</v>
      </c>
      <c r="M118" s="18">
        <f t="shared" si="20"/>
        <v>0</v>
      </c>
      <c r="N118" s="18">
        <f t="shared" si="20"/>
        <v>0</v>
      </c>
      <c r="O118" s="18">
        <f t="shared" si="20"/>
        <v>0</v>
      </c>
      <c r="P118" s="18">
        <f t="shared" si="18"/>
        <v>0</v>
      </c>
      <c r="Q118" s="18">
        <f t="shared" si="13"/>
        <v>0</v>
      </c>
      <c r="R118" s="18">
        <f t="shared" si="13"/>
        <v>0</v>
      </c>
      <c r="S118" s="18">
        <f t="shared" si="13"/>
        <v>0</v>
      </c>
      <c r="T118" s="18">
        <f t="shared" si="13"/>
        <v>0</v>
      </c>
      <c r="U118" s="18">
        <f t="shared" si="13"/>
        <v>0</v>
      </c>
      <c r="V118" s="18"/>
      <c r="W118" s="18"/>
    </row>
    <row r="119" spans="1:23" ht="22.5">
      <c r="A119" s="12" t="s">
        <v>122</v>
      </c>
      <c r="B119" s="13" t="s">
        <v>146</v>
      </c>
      <c r="C119" s="18">
        <f t="shared" si="19"/>
        <v>0</v>
      </c>
      <c r="D119" s="18">
        <f t="shared" si="20"/>
        <v>0</v>
      </c>
      <c r="E119" s="18">
        <f t="shared" si="20"/>
        <v>0</v>
      </c>
      <c r="F119" s="18">
        <f t="shared" si="20"/>
        <v>0</v>
      </c>
      <c r="G119" s="18">
        <f t="shared" si="20"/>
        <v>0</v>
      </c>
      <c r="H119" s="18">
        <f t="shared" si="20"/>
        <v>0</v>
      </c>
      <c r="I119" s="18">
        <f t="shared" si="20"/>
        <v>0</v>
      </c>
      <c r="J119" s="18">
        <f t="shared" si="20"/>
        <v>0</v>
      </c>
      <c r="K119" s="18">
        <f t="shared" si="20"/>
        <v>0</v>
      </c>
      <c r="L119" s="18">
        <f t="shared" si="20"/>
        <v>0</v>
      </c>
      <c r="M119" s="18">
        <f t="shared" si="20"/>
        <v>0</v>
      </c>
      <c r="N119" s="18">
        <f t="shared" si="20"/>
        <v>0</v>
      </c>
      <c r="O119" s="18">
        <f t="shared" si="20"/>
        <v>0</v>
      </c>
      <c r="P119" s="18">
        <f t="shared" si="18"/>
        <v>0</v>
      </c>
      <c r="Q119" s="18">
        <f t="shared" si="13"/>
        <v>0</v>
      </c>
      <c r="R119" s="18">
        <f t="shared" si="13"/>
        <v>0</v>
      </c>
      <c r="S119" s="18">
        <f t="shared" si="13"/>
        <v>0</v>
      </c>
      <c r="T119" s="18">
        <f t="shared" si="13"/>
        <v>0</v>
      </c>
      <c r="U119" s="18">
        <f t="shared" si="13"/>
        <v>0</v>
      </c>
      <c r="V119" s="18"/>
      <c r="W119" s="18"/>
    </row>
    <row r="120" spans="1:23">
      <c r="A120" s="12" t="s">
        <v>141</v>
      </c>
      <c r="B120" s="13" t="s">
        <v>147</v>
      </c>
      <c r="C120" s="18">
        <f t="shared" si="19"/>
        <v>0</v>
      </c>
      <c r="D120" s="18">
        <f t="shared" si="20"/>
        <v>0</v>
      </c>
      <c r="E120" s="18">
        <f t="shared" si="20"/>
        <v>0</v>
      </c>
      <c r="F120" s="18">
        <f t="shared" si="20"/>
        <v>0</v>
      </c>
      <c r="G120" s="18">
        <f t="shared" si="20"/>
        <v>0</v>
      </c>
      <c r="H120" s="18">
        <f t="shared" si="20"/>
        <v>0</v>
      </c>
      <c r="I120" s="18">
        <f t="shared" si="20"/>
        <v>0</v>
      </c>
      <c r="J120" s="18">
        <f t="shared" si="20"/>
        <v>0</v>
      </c>
      <c r="K120" s="18">
        <f t="shared" si="20"/>
        <v>0</v>
      </c>
      <c r="L120" s="18">
        <f t="shared" si="20"/>
        <v>0</v>
      </c>
      <c r="M120" s="18">
        <f t="shared" si="20"/>
        <v>0</v>
      </c>
      <c r="N120" s="18">
        <f t="shared" si="20"/>
        <v>0</v>
      </c>
      <c r="O120" s="18">
        <f t="shared" si="20"/>
        <v>0</v>
      </c>
      <c r="P120" s="18">
        <f t="shared" si="18"/>
        <v>0</v>
      </c>
      <c r="Q120" s="18">
        <f t="shared" si="13"/>
        <v>0</v>
      </c>
      <c r="R120" s="18">
        <f t="shared" ref="Q120:U126" si="21">R31-R77</f>
        <v>0</v>
      </c>
      <c r="S120" s="18">
        <f t="shared" si="21"/>
        <v>0</v>
      </c>
      <c r="T120" s="18">
        <f t="shared" si="21"/>
        <v>0</v>
      </c>
      <c r="U120" s="18">
        <f t="shared" si="21"/>
        <v>0</v>
      </c>
      <c r="V120" s="18"/>
      <c r="W120" s="18"/>
    </row>
    <row r="121" spans="1:23" ht="22.5">
      <c r="A121" s="12" t="s">
        <v>148</v>
      </c>
      <c r="B121" s="13" t="s">
        <v>149</v>
      </c>
      <c r="C121" s="18">
        <f t="shared" si="19"/>
        <v>0</v>
      </c>
      <c r="D121" s="18">
        <f t="shared" si="20"/>
        <v>0</v>
      </c>
      <c r="E121" s="18">
        <f t="shared" si="20"/>
        <v>0</v>
      </c>
      <c r="F121" s="18">
        <f t="shared" si="20"/>
        <v>0</v>
      </c>
      <c r="G121" s="18">
        <f t="shared" si="20"/>
        <v>0</v>
      </c>
      <c r="H121" s="18">
        <f t="shared" si="20"/>
        <v>0</v>
      </c>
      <c r="I121" s="18">
        <f t="shared" si="20"/>
        <v>0</v>
      </c>
      <c r="J121" s="18">
        <f t="shared" si="20"/>
        <v>0</v>
      </c>
      <c r="K121" s="18">
        <f t="shared" si="20"/>
        <v>0</v>
      </c>
      <c r="L121" s="18">
        <f t="shared" si="20"/>
        <v>0</v>
      </c>
      <c r="M121" s="18">
        <f t="shared" si="20"/>
        <v>0</v>
      </c>
      <c r="N121" s="18">
        <f t="shared" si="20"/>
        <v>0</v>
      </c>
      <c r="O121" s="18">
        <f t="shared" si="20"/>
        <v>0</v>
      </c>
      <c r="P121" s="18">
        <f t="shared" si="18"/>
        <v>0</v>
      </c>
      <c r="Q121" s="18">
        <f t="shared" si="21"/>
        <v>0</v>
      </c>
      <c r="R121" s="18">
        <f t="shared" si="21"/>
        <v>0</v>
      </c>
      <c r="S121" s="18">
        <f t="shared" si="21"/>
        <v>0</v>
      </c>
      <c r="T121" s="18">
        <f t="shared" si="21"/>
        <v>0</v>
      </c>
      <c r="U121" s="18">
        <f t="shared" si="21"/>
        <v>0</v>
      </c>
      <c r="V121" s="18"/>
      <c r="W121" s="18"/>
    </row>
    <row r="122" spans="1:23">
      <c r="A122" s="12" t="s">
        <v>124</v>
      </c>
      <c r="B122" s="13" t="s">
        <v>150</v>
      </c>
      <c r="C122" s="18">
        <f t="shared" ref="C122:C125" si="22">C33-C79</f>
        <v>0</v>
      </c>
      <c r="D122" s="18">
        <f t="shared" ref="D122:O125" si="23">D33-D79</f>
        <v>0</v>
      </c>
      <c r="E122" s="18">
        <f t="shared" si="23"/>
        <v>0</v>
      </c>
      <c r="F122" s="18">
        <f t="shared" si="23"/>
        <v>0</v>
      </c>
      <c r="G122" s="18">
        <f t="shared" si="23"/>
        <v>0</v>
      </c>
      <c r="H122" s="18">
        <f t="shared" si="23"/>
        <v>0</v>
      </c>
      <c r="I122" s="18">
        <f t="shared" si="23"/>
        <v>0</v>
      </c>
      <c r="J122" s="18">
        <f t="shared" si="23"/>
        <v>0</v>
      </c>
      <c r="K122" s="18">
        <f t="shared" si="23"/>
        <v>0</v>
      </c>
      <c r="L122" s="18">
        <f t="shared" si="23"/>
        <v>0</v>
      </c>
      <c r="M122" s="18">
        <f t="shared" si="23"/>
        <v>0</v>
      </c>
      <c r="N122" s="18">
        <f t="shared" si="23"/>
        <v>0</v>
      </c>
      <c r="O122" s="18">
        <f t="shared" si="23"/>
        <v>0</v>
      </c>
      <c r="P122" s="18">
        <f t="shared" si="18"/>
        <v>0</v>
      </c>
      <c r="Q122" s="18">
        <f t="shared" si="21"/>
        <v>0</v>
      </c>
      <c r="R122" s="18">
        <f t="shared" si="21"/>
        <v>0</v>
      </c>
      <c r="S122" s="18">
        <f t="shared" si="21"/>
        <v>0</v>
      </c>
      <c r="T122" s="18">
        <f t="shared" si="21"/>
        <v>0</v>
      </c>
      <c r="U122" s="18">
        <f t="shared" si="21"/>
        <v>0</v>
      </c>
      <c r="V122" s="18"/>
      <c r="W122" s="18"/>
    </row>
    <row r="123" spans="1:23">
      <c r="A123" s="12" t="s">
        <v>109</v>
      </c>
      <c r="B123" s="13" t="s">
        <v>151</v>
      </c>
      <c r="C123" s="18">
        <f t="shared" si="22"/>
        <v>0</v>
      </c>
      <c r="D123" s="18">
        <f t="shared" si="23"/>
        <v>0</v>
      </c>
      <c r="E123" s="18">
        <f t="shared" si="23"/>
        <v>0</v>
      </c>
      <c r="F123" s="18">
        <f t="shared" si="23"/>
        <v>0</v>
      </c>
      <c r="G123" s="18">
        <f t="shared" si="23"/>
        <v>0</v>
      </c>
      <c r="H123" s="18">
        <f t="shared" si="23"/>
        <v>0</v>
      </c>
      <c r="I123" s="18">
        <f t="shared" si="23"/>
        <v>0</v>
      </c>
      <c r="J123" s="18">
        <f t="shared" si="23"/>
        <v>0</v>
      </c>
      <c r="K123" s="18">
        <f t="shared" si="23"/>
        <v>0</v>
      </c>
      <c r="L123" s="18">
        <f t="shared" si="23"/>
        <v>0</v>
      </c>
      <c r="M123" s="18">
        <f t="shared" si="23"/>
        <v>0</v>
      </c>
      <c r="N123" s="18">
        <f t="shared" si="23"/>
        <v>0</v>
      </c>
      <c r="O123" s="18">
        <f t="shared" si="23"/>
        <v>0</v>
      </c>
      <c r="P123" s="18">
        <f t="shared" si="18"/>
        <v>0</v>
      </c>
      <c r="Q123" s="18">
        <f t="shared" si="21"/>
        <v>0</v>
      </c>
      <c r="R123" s="18">
        <f t="shared" si="21"/>
        <v>0</v>
      </c>
      <c r="S123" s="18">
        <f t="shared" si="21"/>
        <v>0</v>
      </c>
      <c r="T123" s="18">
        <f t="shared" si="21"/>
        <v>0</v>
      </c>
      <c r="U123" s="18">
        <f t="shared" si="21"/>
        <v>0</v>
      </c>
      <c r="V123" s="18"/>
      <c r="W123" s="18"/>
    </row>
    <row r="124" spans="1:23">
      <c r="A124" s="12" t="s">
        <v>120</v>
      </c>
      <c r="B124" s="13" t="s">
        <v>152</v>
      </c>
      <c r="C124" s="18">
        <f t="shared" si="22"/>
        <v>0</v>
      </c>
      <c r="D124" s="18">
        <f t="shared" si="23"/>
        <v>0</v>
      </c>
      <c r="E124" s="18">
        <f t="shared" si="23"/>
        <v>0</v>
      </c>
      <c r="F124" s="18">
        <f t="shared" si="23"/>
        <v>0</v>
      </c>
      <c r="G124" s="18">
        <f t="shared" si="23"/>
        <v>0</v>
      </c>
      <c r="H124" s="18">
        <f t="shared" si="23"/>
        <v>0</v>
      </c>
      <c r="I124" s="18">
        <f t="shared" si="23"/>
        <v>0</v>
      </c>
      <c r="J124" s="18">
        <f t="shared" si="23"/>
        <v>0</v>
      </c>
      <c r="K124" s="18">
        <f t="shared" si="23"/>
        <v>0</v>
      </c>
      <c r="L124" s="18">
        <f t="shared" si="23"/>
        <v>0</v>
      </c>
      <c r="M124" s="18">
        <f t="shared" si="23"/>
        <v>0</v>
      </c>
      <c r="N124" s="18">
        <f t="shared" si="23"/>
        <v>0</v>
      </c>
      <c r="O124" s="18">
        <f t="shared" si="23"/>
        <v>0</v>
      </c>
      <c r="P124" s="18">
        <f t="shared" si="18"/>
        <v>0</v>
      </c>
      <c r="Q124" s="18">
        <f t="shared" si="21"/>
        <v>0</v>
      </c>
      <c r="R124" s="18">
        <f t="shared" si="21"/>
        <v>0</v>
      </c>
      <c r="S124" s="18">
        <f t="shared" si="21"/>
        <v>0</v>
      </c>
      <c r="T124" s="18">
        <f t="shared" si="21"/>
        <v>0</v>
      </c>
      <c r="U124" s="18">
        <f t="shared" si="21"/>
        <v>0</v>
      </c>
      <c r="V124" s="18"/>
      <c r="W124" s="18"/>
    </row>
    <row r="125" spans="1:23" ht="22.5">
      <c r="A125" s="12" t="s">
        <v>122</v>
      </c>
      <c r="B125" s="13" t="s">
        <v>153</v>
      </c>
      <c r="C125" s="18">
        <f t="shared" si="22"/>
        <v>0</v>
      </c>
      <c r="D125" s="18">
        <f t="shared" si="23"/>
        <v>0</v>
      </c>
      <c r="E125" s="18">
        <f t="shared" si="23"/>
        <v>0</v>
      </c>
      <c r="F125" s="18">
        <f t="shared" si="23"/>
        <v>0</v>
      </c>
      <c r="G125" s="18">
        <f t="shared" si="23"/>
        <v>0</v>
      </c>
      <c r="H125" s="18">
        <f t="shared" si="23"/>
        <v>0</v>
      </c>
      <c r="I125" s="18">
        <f t="shared" si="23"/>
        <v>0</v>
      </c>
      <c r="J125" s="18">
        <f t="shared" si="23"/>
        <v>0</v>
      </c>
      <c r="K125" s="18">
        <f t="shared" si="23"/>
        <v>0</v>
      </c>
      <c r="L125" s="18">
        <f t="shared" si="23"/>
        <v>0</v>
      </c>
      <c r="M125" s="18">
        <f t="shared" si="23"/>
        <v>0</v>
      </c>
      <c r="N125" s="18">
        <f t="shared" si="23"/>
        <v>0</v>
      </c>
      <c r="O125" s="18">
        <f t="shared" si="23"/>
        <v>0</v>
      </c>
      <c r="P125" s="18">
        <f t="shared" si="18"/>
        <v>0</v>
      </c>
      <c r="Q125" s="18">
        <f t="shared" si="21"/>
        <v>0</v>
      </c>
      <c r="R125" s="18">
        <f t="shared" si="21"/>
        <v>0</v>
      </c>
      <c r="S125" s="18">
        <f t="shared" si="21"/>
        <v>0</v>
      </c>
      <c r="T125" s="18">
        <f t="shared" si="21"/>
        <v>0</v>
      </c>
      <c r="U125" s="18">
        <f t="shared" si="21"/>
        <v>0</v>
      </c>
      <c r="V125" s="18"/>
      <c r="W125" s="18"/>
    </row>
    <row r="126" spans="1:23">
      <c r="A126" s="12" t="s">
        <v>141</v>
      </c>
      <c r="B126" s="13" t="s">
        <v>154</v>
      </c>
      <c r="C126" s="18">
        <f t="shared" ref="C126:C129" si="24">C37-C83</f>
        <v>0</v>
      </c>
      <c r="D126" s="18">
        <f t="shared" ref="D126:O129" si="25">D37-D83</f>
        <v>0</v>
      </c>
      <c r="E126" s="18">
        <f t="shared" si="25"/>
        <v>0</v>
      </c>
      <c r="F126" s="18">
        <f t="shared" si="25"/>
        <v>0</v>
      </c>
      <c r="G126" s="18">
        <f t="shared" si="25"/>
        <v>0</v>
      </c>
      <c r="H126" s="18">
        <f t="shared" si="25"/>
        <v>0</v>
      </c>
      <c r="I126" s="18">
        <f t="shared" si="25"/>
        <v>0</v>
      </c>
      <c r="J126" s="18">
        <f t="shared" si="25"/>
        <v>0</v>
      </c>
      <c r="K126" s="18">
        <f t="shared" si="25"/>
        <v>0</v>
      </c>
      <c r="L126" s="18">
        <f t="shared" si="25"/>
        <v>0</v>
      </c>
      <c r="M126" s="18">
        <f t="shared" si="25"/>
        <v>0</v>
      </c>
      <c r="N126" s="18">
        <f t="shared" si="25"/>
        <v>0</v>
      </c>
      <c r="O126" s="18">
        <f t="shared" si="25"/>
        <v>0</v>
      </c>
      <c r="P126" s="18">
        <f t="shared" si="18"/>
        <v>0</v>
      </c>
      <c r="Q126" s="18">
        <f t="shared" si="21"/>
        <v>0</v>
      </c>
      <c r="R126" s="18">
        <f t="shared" si="21"/>
        <v>0</v>
      </c>
      <c r="S126" s="18">
        <f t="shared" si="21"/>
        <v>0</v>
      </c>
      <c r="T126" s="18">
        <f t="shared" si="21"/>
        <v>0</v>
      </c>
      <c r="U126" s="18">
        <f t="shared" si="21"/>
        <v>0</v>
      </c>
      <c r="V126" s="18"/>
      <c r="W126" s="18"/>
    </row>
    <row r="127" spans="1:23">
      <c r="A127" s="12" t="s">
        <v>148</v>
      </c>
      <c r="B127" s="13" t="s">
        <v>155</v>
      </c>
      <c r="C127" s="18">
        <f t="shared" si="24"/>
        <v>0</v>
      </c>
      <c r="D127" s="18">
        <f t="shared" si="25"/>
        <v>0</v>
      </c>
      <c r="E127" s="18">
        <f t="shared" si="25"/>
        <v>0</v>
      </c>
      <c r="F127" s="18">
        <f t="shared" si="25"/>
        <v>0</v>
      </c>
      <c r="G127" s="18">
        <f t="shared" si="25"/>
        <v>0</v>
      </c>
      <c r="H127" s="18">
        <f t="shared" si="25"/>
        <v>0</v>
      </c>
      <c r="I127" s="18">
        <f t="shared" si="25"/>
        <v>0</v>
      </c>
      <c r="J127" s="18">
        <f t="shared" si="25"/>
        <v>0</v>
      </c>
      <c r="K127" s="18">
        <f t="shared" si="25"/>
        <v>0</v>
      </c>
      <c r="L127" s="18">
        <f t="shared" si="25"/>
        <v>0</v>
      </c>
      <c r="M127" s="18">
        <f t="shared" si="25"/>
        <v>0</v>
      </c>
      <c r="N127" s="18">
        <f t="shared" si="25"/>
        <v>0</v>
      </c>
      <c r="O127" s="18">
        <f t="shared" si="25"/>
        <v>0</v>
      </c>
      <c r="P127" s="18">
        <f t="shared" si="18"/>
        <v>0</v>
      </c>
      <c r="Q127" s="18">
        <f t="shared" ref="Q127:U131" si="26">Q38-Q84</f>
        <v>0</v>
      </c>
      <c r="R127" s="18">
        <f t="shared" si="26"/>
        <v>0</v>
      </c>
      <c r="S127" s="18">
        <f t="shared" si="26"/>
        <v>0</v>
      </c>
      <c r="T127" s="18">
        <f t="shared" si="26"/>
        <v>0</v>
      </c>
      <c r="U127" s="18">
        <f t="shared" si="26"/>
        <v>0</v>
      </c>
      <c r="V127" s="18"/>
      <c r="W127" s="18"/>
    </row>
    <row r="128" spans="1:23">
      <c r="A128" s="12" t="s">
        <v>156</v>
      </c>
      <c r="B128" s="13" t="s">
        <v>129</v>
      </c>
      <c r="C128" s="18">
        <f t="shared" si="24"/>
        <v>0</v>
      </c>
      <c r="D128" s="18">
        <f t="shared" si="25"/>
        <v>0</v>
      </c>
      <c r="E128" s="18">
        <f t="shared" si="25"/>
        <v>0</v>
      </c>
      <c r="F128" s="18">
        <f t="shared" si="25"/>
        <v>0</v>
      </c>
      <c r="G128" s="18">
        <f t="shared" si="25"/>
        <v>0</v>
      </c>
      <c r="H128" s="18">
        <f t="shared" si="25"/>
        <v>0</v>
      </c>
      <c r="I128" s="18">
        <f t="shared" si="25"/>
        <v>0</v>
      </c>
      <c r="J128" s="18">
        <f t="shared" si="25"/>
        <v>0</v>
      </c>
      <c r="K128" s="18">
        <f t="shared" si="25"/>
        <v>0</v>
      </c>
      <c r="L128" s="18">
        <f t="shared" si="25"/>
        <v>0</v>
      </c>
      <c r="M128" s="18">
        <f t="shared" si="25"/>
        <v>0</v>
      </c>
      <c r="N128" s="18">
        <f t="shared" si="25"/>
        <v>0</v>
      </c>
      <c r="O128" s="18">
        <f t="shared" si="25"/>
        <v>0</v>
      </c>
      <c r="P128" s="18">
        <f t="shared" si="18"/>
        <v>0</v>
      </c>
      <c r="Q128" s="18">
        <f t="shared" si="26"/>
        <v>0</v>
      </c>
      <c r="R128" s="18">
        <f t="shared" si="26"/>
        <v>0</v>
      </c>
      <c r="S128" s="18">
        <f t="shared" si="26"/>
        <v>0</v>
      </c>
      <c r="T128" s="18">
        <f t="shared" si="26"/>
        <v>0</v>
      </c>
      <c r="U128" s="18">
        <f t="shared" si="26"/>
        <v>0</v>
      </c>
      <c r="V128" s="18"/>
      <c r="W128" s="18"/>
    </row>
    <row r="129" spans="1:23">
      <c r="A129" s="12" t="s">
        <v>157</v>
      </c>
      <c r="B129" s="13" t="s">
        <v>158</v>
      </c>
      <c r="C129" s="18">
        <f t="shared" si="24"/>
        <v>0</v>
      </c>
      <c r="D129" s="18">
        <f t="shared" si="25"/>
        <v>0</v>
      </c>
      <c r="E129" s="18">
        <f t="shared" si="25"/>
        <v>0</v>
      </c>
      <c r="F129" s="18">
        <f t="shared" si="25"/>
        <v>0</v>
      </c>
      <c r="G129" s="18">
        <f t="shared" si="25"/>
        <v>0</v>
      </c>
      <c r="H129" s="18">
        <f t="shared" si="25"/>
        <v>0</v>
      </c>
      <c r="I129" s="18">
        <f t="shared" si="25"/>
        <v>0</v>
      </c>
      <c r="J129" s="18">
        <f t="shared" si="25"/>
        <v>0</v>
      </c>
      <c r="K129" s="18">
        <f t="shared" si="25"/>
        <v>0</v>
      </c>
      <c r="L129" s="18">
        <f t="shared" si="25"/>
        <v>0</v>
      </c>
      <c r="M129" s="18">
        <f t="shared" si="25"/>
        <v>0</v>
      </c>
      <c r="N129" s="18">
        <f t="shared" si="25"/>
        <v>0</v>
      </c>
      <c r="O129" s="18">
        <f t="shared" si="25"/>
        <v>0</v>
      </c>
      <c r="P129" s="18">
        <f t="shared" si="18"/>
        <v>0</v>
      </c>
      <c r="Q129" s="18">
        <f t="shared" si="26"/>
        <v>0</v>
      </c>
      <c r="R129" s="18">
        <f t="shared" si="26"/>
        <v>0</v>
      </c>
      <c r="S129" s="18">
        <f t="shared" si="26"/>
        <v>0</v>
      </c>
      <c r="T129" s="18">
        <f t="shared" si="26"/>
        <v>0</v>
      </c>
      <c r="U129" s="18">
        <f t="shared" si="26"/>
        <v>0</v>
      </c>
      <c r="V129" s="18"/>
      <c r="W129" s="18"/>
    </row>
    <row r="130" spans="1:23">
      <c r="A130" s="12" t="s">
        <v>126</v>
      </c>
      <c r="B130" s="13" t="s">
        <v>159</v>
      </c>
      <c r="C130" s="18">
        <f t="shared" ref="C130:C131" si="27">C41-C87</f>
        <v>0</v>
      </c>
      <c r="D130" s="18">
        <f t="shared" ref="D130:O131" si="28">D41-D87</f>
        <v>0</v>
      </c>
      <c r="E130" s="18">
        <f t="shared" si="28"/>
        <v>0</v>
      </c>
      <c r="F130" s="18">
        <f t="shared" si="28"/>
        <v>0</v>
      </c>
      <c r="G130" s="18">
        <f t="shared" si="28"/>
        <v>0</v>
      </c>
      <c r="H130" s="18">
        <f t="shared" si="28"/>
        <v>0</v>
      </c>
      <c r="I130" s="18">
        <f t="shared" si="28"/>
        <v>0</v>
      </c>
      <c r="J130" s="18">
        <f t="shared" si="28"/>
        <v>0</v>
      </c>
      <c r="K130" s="18">
        <f t="shared" si="28"/>
        <v>0</v>
      </c>
      <c r="L130" s="18">
        <f t="shared" si="28"/>
        <v>0</v>
      </c>
      <c r="M130" s="18">
        <f t="shared" si="28"/>
        <v>0</v>
      </c>
      <c r="N130" s="18">
        <f t="shared" si="28"/>
        <v>0</v>
      </c>
      <c r="O130" s="18">
        <f t="shared" si="28"/>
        <v>0</v>
      </c>
      <c r="P130" s="18">
        <f t="shared" si="18"/>
        <v>0</v>
      </c>
      <c r="Q130" s="18">
        <f t="shared" si="26"/>
        <v>0</v>
      </c>
      <c r="R130" s="18">
        <f t="shared" si="26"/>
        <v>0</v>
      </c>
      <c r="S130" s="18">
        <f t="shared" si="26"/>
        <v>0</v>
      </c>
      <c r="T130" s="18">
        <f t="shared" si="26"/>
        <v>0</v>
      </c>
      <c r="U130" s="18">
        <f t="shared" si="26"/>
        <v>0</v>
      </c>
      <c r="V130" s="18"/>
      <c r="W130" s="18"/>
    </row>
    <row r="131" spans="1:23">
      <c r="A131" s="8"/>
      <c r="B131" s="9" t="s">
        <v>60</v>
      </c>
      <c r="C131" s="18">
        <f t="shared" si="27"/>
        <v>0</v>
      </c>
      <c r="D131" s="18">
        <f t="shared" si="28"/>
        <v>0</v>
      </c>
      <c r="E131" s="18">
        <f t="shared" si="28"/>
        <v>0</v>
      </c>
      <c r="F131" s="18">
        <f t="shared" si="28"/>
        <v>0</v>
      </c>
      <c r="G131" s="18">
        <f t="shared" si="28"/>
        <v>0</v>
      </c>
      <c r="H131" s="18">
        <f t="shared" si="28"/>
        <v>0</v>
      </c>
      <c r="I131" s="18">
        <f t="shared" si="28"/>
        <v>0</v>
      </c>
      <c r="J131" s="18">
        <f t="shared" si="28"/>
        <v>0</v>
      </c>
      <c r="K131" s="18">
        <f t="shared" si="28"/>
        <v>0</v>
      </c>
      <c r="L131" s="18">
        <f t="shared" si="28"/>
        <v>0</v>
      </c>
      <c r="M131" s="18">
        <f t="shared" si="28"/>
        <v>0</v>
      </c>
      <c r="N131" s="18">
        <f t="shared" si="28"/>
        <v>0</v>
      </c>
      <c r="O131" s="18">
        <f t="shared" si="28"/>
        <v>0</v>
      </c>
      <c r="P131" s="18">
        <f t="shared" si="18"/>
        <v>0</v>
      </c>
      <c r="Q131" s="18">
        <f t="shared" si="26"/>
        <v>0</v>
      </c>
      <c r="R131" s="18">
        <f t="shared" si="26"/>
        <v>0</v>
      </c>
      <c r="S131" s="18">
        <f t="shared" si="26"/>
        <v>0</v>
      </c>
      <c r="T131" s="18">
        <f t="shared" si="26"/>
        <v>0</v>
      </c>
      <c r="U131" s="18">
        <f t="shared" si="26"/>
        <v>0</v>
      </c>
      <c r="V131" s="18"/>
      <c r="W131" s="18"/>
    </row>
  </sheetData>
  <conditionalFormatting sqref="C92:W131">
    <cfRule type="cellIs" dxfId="16" priority="1" operator="notEqual">
      <formula>0</formula>
    </cfRule>
    <cfRule type="cellIs" dxfId="15" priority="2" operator="not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23"/>
  <sheetViews>
    <sheetView workbookViewId="0">
      <selection activeCell="H29" sqref="H29"/>
    </sheetView>
  </sheetViews>
  <sheetFormatPr defaultRowHeight="15"/>
  <cols>
    <col min="1" max="1" width="2.7109375" customWidth="1"/>
    <col min="2" max="2" width="36.5703125" bestFit="1" customWidth="1"/>
    <col min="3" max="3" width="18.5703125" bestFit="1" customWidth="1"/>
    <col min="4" max="4" width="15.85546875" bestFit="1" customWidth="1"/>
  </cols>
  <sheetData>
    <row r="3" spans="1:4">
      <c r="A3" s="19"/>
    </row>
    <row r="4" spans="1:4">
      <c r="A4" s="19"/>
    </row>
    <row r="5" spans="1:4" ht="15" customHeight="1">
      <c r="A5" s="305" t="s">
        <v>771</v>
      </c>
      <c r="B5" s="320"/>
      <c r="C5" s="320"/>
      <c r="D5" s="320"/>
    </row>
    <row r="7" spans="1:4">
      <c r="A7" s="308" t="s">
        <v>371</v>
      </c>
      <c r="B7" s="309"/>
      <c r="C7" s="94" t="s">
        <v>695</v>
      </c>
      <c r="D7" s="94" t="s">
        <v>696</v>
      </c>
    </row>
    <row r="8" spans="1:4">
      <c r="A8" s="134">
        <v>1</v>
      </c>
      <c r="B8" s="128" t="s">
        <v>772</v>
      </c>
      <c r="C8" s="106">
        <v>129421960.44</v>
      </c>
      <c r="D8" s="106">
        <v>163517547.93000001</v>
      </c>
    </row>
    <row r="9" spans="1:4">
      <c r="A9" s="134">
        <v>2</v>
      </c>
      <c r="B9" s="128" t="s">
        <v>773</v>
      </c>
      <c r="C9" s="106">
        <v>10447903.57</v>
      </c>
      <c r="D9" s="106">
        <v>17025697.109999999</v>
      </c>
    </row>
    <row r="10" spans="1:4">
      <c r="A10" s="134">
        <v>3</v>
      </c>
      <c r="B10" s="128" t="s">
        <v>774</v>
      </c>
      <c r="C10" s="106">
        <v>585332505.35000002</v>
      </c>
      <c r="D10" s="106">
        <f>693650812.06-21934.8</f>
        <v>693628877.25999999</v>
      </c>
    </row>
    <row r="11" spans="1:4" ht="23.25">
      <c r="A11" s="134">
        <v>4</v>
      </c>
      <c r="B11" s="128" t="s">
        <v>775</v>
      </c>
      <c r="C11" s="106">
        <v>4672125.55</v>
      </c>
      <c r="D11" s="106">
        <v>5184130.5599999996</v>
      </c>
    </row>
    <row r="12" spans="1:4" ht="34.5">
      <c r="A12" s="134">
        <v>5</v>
      </c>
      <c r="B12" s="128" t="s">
        <v>776</v>
      </c>
      <c r="C12" s="106">
        <v>368304.78</v>
      </c>
      <c r="D12" s="106">
        <v>147976.14000000001</v>
      </c>
    </row>
    <row r="13" spans="1:4" ht="23.25">
      <c r="A13" s="134">
        <v>6</v>
      </c>
      <c r="B13" s="128" t="s">
        <v>777</v>
      </c>
      <c r="C13" s="106">
        <v>1522136.51</v>
      </c>
      <c r="D13" s="106">
        <v>1596346.14</v>
      </c>
    </row>
    <row r="14" spans="1:4">
      <c r="A14" s="134">
        <v>7</v>
      </c>
      <c r="B14" s="128" t="s">
        <v>778</v>
      </c>
      <c r="C14" s="106">
        <v>151738.49</v>
      </c>
      <c r="D14" s="106">
        <v>182080.81</v>
      </c>
    </row>
    <row r="15" spans="1:4" ht="23.25">
      <c r="A15" s="134">
        <v>8</v>
      </c>
      <c r="B15" s="128" t="s">
        <v>779</v>
      </c>
      <c r="C15" s="106">
        <v>5382670.0800000001</v>
      </c>
      <c r="D15" s="106">
        <v>5861599.1299999999</v>
      </c>
    </row>
    <row r="16" spans="1:4" ht="23.25">
      <c r="A16" s="134">
        <v>9</v>
      </c>
      <c r="B16" s="128" t="s">
        <v>780</v>
      </c>
      <c r="C16" s="106">
        <v>10412746.73</v>
      </c>
      <c r="D16" s="106">
        <v>10916357.5</v>
      </c>
    </row>
    <row r="17" spans="1:4">
      <c r="A17" s="134">
        <v>10</v>
      </c>
      <c r="B17" s="128" t="s">
        <v>297</v>
      </c>
      <c r="C17" s="106">
        <v>59276.4</v>
      </c>
      <c r="D17" s="106">
        <v>77049.81</v>
      </c>
    </row>
    <row r="18" spans="1:4">
      <c r="A18" s="344" t="s">
        <v>535</v>
      </c>
      <c r="B18" s="345"/>
      <c r="C18" s="125">
        <f>SUM(C8:C17)</f>
        <v>747771367.89999998</v>
      </c>
      <c r="D18" s="125">
        <f>SUM(D8:D17)</f>
        <v>898137662.38999975</v>
      </c>
    </row>
    <row r="19" spans="1:4">
      <c r="A19" s="322"/>
      <c r="B19" s="322"/>
      <c r="C19" s="322"/>
      <c r="D19" s="322"/>
    </row>
    <row r="20" spans="1:4">
      <c r="A20" s="323"/>
      <c r="B20" s="323"/>
      <c r="C20" s="323"/>
      <c r="D20" s="323"/>
    </row>
    <row r="21" spans="1:4">
      <c r="C21" s="18">
        <f>C18-'RZiS 31.12.2018'!C18</f>
        <v>0</v>
      </c>
      <c r="D21" s="18">
        <f>D18-'RZiS 31.12.2018'!D18</f>
        <v>0</v>
      </c>
    </row>
    <row r="23" spans="1:4">
      <c r="C23" s="18" t="e">
        <f>C18-#REF!</f>
        <v>#REF!</v>
      </c>
      <c r="D23" s="18" t="e">
        <f>D18-#REF!</f>
        <v>#REF!</v>
      </c>
    </row>
  </sheetData>
  <mergeCells count="5">
    <mergeCell ref="A5:D5"/>
    <mergeCell ref="A7:B7"/>
    <mergeCell ref="A18:B18"/>
    <mergeCell ref="A19:D19"/>
    <mergeCell ref="A20:D20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9"/>
  <sheetViews>
    <sheetView topLeftCell="A13" workbookViewId="0">
      <selection activeCell="H29" sqref="H29"/>
    </sheetView>
  </sheetViews>
  <sheetFormatPr defaultRowHeight="15"/>
  <cols>
    <col min="1" max="1" width="7.85546875" customWidth="1"/>
    <col min="2" max="2" width="36.5703125" bestFit="1" customWidth="1"/>
    <col min="3" max="3" width="18.5703125" bestFit="1" customWidth="1"/>
    <col min="4" max="4" width="15.85546875" bestFit="1" customWidth="1"/>
  </cols>
  <sheetData>
    <row r="3" spans="1:6">
      <c r="A3" s="19"/>
    </row>
    <row r="4" spans="1:6">
      <c r="A4" s="19"/>
    </row>
    <row r="5" spans="1:6" ht="15" customHeight="1">
      <c r="A5" s="305" t="s">
        <v>781</v>
      </c>
      <c r="B5" s="320"/>
      <c r="C5" s="320"/>
      <c r="D5" s="320"/>
    </row>
    <row r="6" spans="1:6">
      <c r="A6" s="163"/>
    </row>
    <row r="7" spans="1:6">
      <c r="A7" s="321"/>
      <c r="B7" s="321"/>
      <c r="C7" s="321"/>
      <c r="D7" s="321"/>
    </row>
    <row r="8" spans="1:6">
      <c r="A8" s="94" t="s">
        <v>782</v>
      </c>
      <c r="B8" s="94" t="s">
        <v>382</v>
      </c>
      <c r="C8" s="94" t="s">
        <v>695</v>
      </c>
      <c r="D8" s="94" t="s">
        <v>696</v>
      </c>
    </row>
    <row r="9" spans="1:6" ht="23.25">
      <c r="A9" s="122" t="s">
        <v>726</v>
      </c>
      <c r="B9" s="123" t="s">
        <v>783</v>
      </c>
      <c r="C9" s="133">
        <f>SUM(C10:C12)</f>
        <v>105959679.53</v>
      </c>
      <c r="D9" s="133">
        <f>SUM(D10:D12)</f>
        <v>74457979.360000014</v>
      </c>
      <c r="E9" s="18">
        <f>C9-'RZiS 31.12.2018'!C28</f>
        <v>0</v>
      </c>
      <c r="F9" s="18">
        <f>D9-'RZiS 31.12.2018'!D28</f>
        <v>0</v>
      </c>
    </row>
    <row r="10" spans="1:6">
      <c r="A10" s="162"/>
      <c r="B10" s="128" t="s">
        <v>784</v>
      </c>
      <c r="C10" s="106">
        <v>95577352.090000004</v>
      </c>
      <c r="D10" s="106">
        <v>64503979.340000004</v>
      </c>
    </row>
    <row r="11" spans="1:6">
      <c r="A11" s="162"/>
      <c r="B11" s="128" t="s">
        <v>785</v>
      </c>
      <c r="C11" s="106">
        <v>1163859.08</v>
      </c>
      <c r="D11" s="106">
        <v>2495495.27</v>
      </c>
    </row>
    <row r="12" spans="1:6" ht="23.25">
      <c r="A12" s="162"/>
      <c r="B12" s="128" t="s">
        <v>786</v>
      </c>
      <c r="C12" s="106">
        <v>9218468.3599999994</v>
      </c>
      <c r="D12" s="106">
        <v>7458504.75</v>
      </c>
    </row>
    <row r="13" spans="1:6">
      <c r="A13" s="122" t="s">
        <v>736</v>
      </c>
      <c r="B13" s="123" t="s">
        <v>384</v>
      </c>
      <c r="C13" s="139">
        <v>0</v>
      </c>
      <c r="D13" s="133">
        <v>2074.73</v>
      </c>
      <c r="E13" s="18">
        <f>C13-'RZiS 31.12.2018'!C29</f>
        <v>0</v>
      </c>
      <c r="F13" s="18">
        <f>D13-'RZiS 31.12.2018'!D29</f>
        <v>0</v>
      </c>
    </row>
    <row r="14" spans="1:6">
      <c r="A14" s="122" t="s">
        <v>738</v>
      </c>
      <c r="B14" s="123" t="s">
        <v>787</v>
      </c>
      <c r="C14" s="133">
        <f>SUM(C15:C24)</f>
        <v>496381744.33000004</v>
      </c>
      <c r="D14" s="133">
        <f>SUM(D15:D24)</f>
        <v>1249376729.5900002</v>
      </c>
      <c r="E14" s="18">
        <f>C14-'RZiS 31.12.2018'!C30</f>
        <v>0</v>
      </c>
      <c r="F14" s="18">
        <f>D14-'RZiS 31.12.2018'!D30</f>
        <v>0</v>
      </c>
    </row>
    <row r="15" spans="1:6" ht="23.25">
      <c r="A15" s="162"/>
      <c r="B15" s="128" t="s">
        <v>788</v>
      </c>
      <c r="C15" s="106">
        <v>1052451.5</v>
      </c>
      <c r="D15" s="106">
        <v>2721947.02</v>
      </c>
    </row>
    <row r="16" spans="1:6" ht="23.25">
      <c r="A16" s="162"/>
      <c r="B16" s="128" t="s">
        <v>789</v>
      </c>
      <c r="C16" s="107">
        <v>0</v>
      </c>
      <c r="D16" s="107">
        <v>0</v>
      </c>
    </row>
    <row r="17" spans="1:6">
      <c r="A17" s="162"/>
      <c r="B17" s="128" t="s">
        <v>790</v>
      </c>
      <c r="C17" s="106">
        <v>34033588.57</v>
      </c>
      <c r="D17" s="106">
        <v>141653986.77000001</v>
      </c>
    </row>
    <row r="18" spans="1:6" ht="23.25">
      <c r="A18" s="162"/>
      <c r="B18" s="128" t="s">
        <v>791</v>
      </c>
      <c r="C18" s="106">
        <v>16785.669999999998</v>
      </c>
      <c r="D18" s="106">
        <v>59716.26</v>
      </c>
    </row>
    <row r="19" spans="1:6" ht="23.25">
      <c r="A19" s="162"/>
      <c r="B19" s="128" t="s">
        <v>792</v>
      </c>
      <c r="C19" s="106">
        <v>1620091.62</v>
      </c>
      <c r="D19" s="106">
        <v>4418407.96</v>
      </c>
    </row>
    <row r="20" spans="1:6" ht="23.25">
      <c r="A20" s="162"/>
      <c r="B20" s="128" t="s">
        <v>793</v>
      </c>
      <c r="C20" s="106">
        <v>83468891.540000007</v>
      </c>
      <c r="D20" s="106">
        <v>156097176.13999999</v>
      </c>
    </row>
    <row r="21" spans="1:6">
      <c r="A21" s="162"/>
      <c r="B21" s="128" t="s">
        <v>794</v>
      </c>
      <c r="C21" s="106">
        <v>356076275.69999999</v>
      </c>
      <c r="D21" s="106">
        <v>928508758.46000004</v>
      </c>
    </row>
    <row r="22" spans="1:6" ht="34.5">
      <c r="A22" s="162"/>
      <c r="B22" s="128" t="s">
        <v>795</v>
      </c>
      <c r="C22" s="106">
        <v>3107026.24</v>
      </c>
      <c r="D22" s="106">
        <v>66996.13</v>
      </c>
    </row>
    <row r="23" spans="1:6" ht="79.5">
      <c r="A23" s="162"/>
      <c r="B23" s="128" t="s">
        <v>796</v>
      </c>
      <c r="C23" s="107">
        <v>0</v>
      </c>
      <c r="D23" s="107">
        <v>0</v>
      </c>
    </row>
    <row r="24" spans="1:6" ht="90.75">
      <c r="A24" s="162"/>
      <c r="B24" s="128" t="s">
        <v>797</v>
      </c>
      <c r="C24" s="106">
        <v>17006633.489999998</v>
      </c>
      <c r="D24" s="106">
        <f>15852599.4-2858.55</f>
        <v>15849740.85</v>
      </c>
    </row>
    <row r="25" spans="1:6">
      <c r="A25" s="344" t="s">
        <v>535</v>
      </c>
      <c r="B25" s="345"/>
      <c r="C25" s="125">
        <f>C9+C13+C14</f>
        <v>602341423.86000001</v>
      </c>
      <c r="D25" s="125">
        <f>D9+D13+D14</f>
        <v>1323836783.6800001</v>
      </c>
      <c r="E25" s="18">
        <f>C25-'RZiS 31.12.2018'!C27</f>
        <v>0</v>
      </c>
      <c r="F25" s="18">
        <f>D25-'RZiS 31.12.2018'!D27</f>
        <v>0</v>
      </c>
    </row>
    <row r="26" spans="1:6">
      <c r="A26" s="322"/>
      <c r="B26" s="322"/>
      <c r="C26" s="322"/>
      <c r="D26" s="322"/>
    </row>
    <row r="27" spans="1:6">
      <c r="A27" s="323"/>
      <c r="B27" s="323"/>
      <c r="C27" s="323"/>
      <c r="D27" s="323"/>
    </row>
    <row r="28" spans="1:6">
      <c r="A28" s="323"/>
      <c r="B28" s="323"/>
      <c r="C28" s="323"/>
      <c r="D28" s="323"/>
    </row>
    <row r="29" spans="1:6">
      <c r="C29" s="18" t="e">
        <f>C25-#REF!</f>
        <v>#REF!</v>
      </c>
      <c r="D29" s="18" t="e">
        <f>D25-#REF!</f>
        <v>#REF!</v>
      </c>
    </row>
  </sheetData>
  <mergeCells count="6">
    <mergeCell ref="A28:D28"/>
    <mergeCell ref="A5:D5"/>
    <mergeCell ref="A7:D7"/>
    <mergeCell ref="A25:B25"/>
    <mergeCell ref="A26:D26"/>
    <mergeCell ref="A27:D27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6"/>
  <sheetViews>
    <sheetView topLeftCell="A4" workbookViewId="0">
      <selection activeCell="H29" sqref="H29"/>
    </sheetView>
  </sheetViews>
  <sheetFormatPr defaultRowHeight="15"/>
  <cols>
    <col min="1" max="1" width="1.85546875" customWidth="1"/>
    <col min="2" max="2" width="36.5703125" bestFit="1" customWidth="1"/>
    <col min="3" max="3" width="18.5703125" bestFit="1" customWidth="1"/>
    <col min="4" max="4" width="15.85546875" bestFit="1" customWidth="1"/>
  </cols>
  <sheetData>
    <row r="3" spans="1:6">
      <c r="A3" s="19"/>
    </row>
    <row r="4" spans="1:6">
      <c r="A4" s="19"/>
    </row>
    <row r="5" spans="1:6" ht="15" customHeight="1">
      <c r="A5" s="305" t="s">
        <v>798</v>
      </c>
      <c r="B5" s="320"/>
      <c r="C5" s="320"/>
      <c r="D5" s="320"/>
    </row>
    <row r="7" spans="1:6">
      <c r="A7" s="321"/>
      <c r="B7" s="321"/>
      <c r="C7" s="321"/>
      <c r="D7" s="321"/>
    </row>
    <row r="8" spans="1:6">
      <c r="A8" s="308" t="s">
        <v>386</v>
      </c>
      <c r="B8" s="309"/>
      <c r="C8" s="94" t="s">
        <v>695</v>
      </c>
      <c r="D8" s="94" t="s">
        <v>696</v>
      </c>
    </row>
    <row r="9" spans="1:6" ht="45.75">
      <c r="A9" s="122" t="s">
        <v>726</v>
      </c>
      <c r="B9" s="123" t="s">
        <v>799</v>
      </c>
      <c r="C9" s="139">
        <v>0</v>
      </c>
      <c r="D9" s="139">
        <v>0</v>
      </c>
      <c r="E9" s="18">
        <f>C9-'RZiS 31.12.2018'!C32</f>
        <v>0</v>
      </c>
      <c r="F9" s="18">
        <f>D9-'RZiS 31.12.2018'!D32</f>
        <v>0</v>
      </c>
    </row>
    <row r="10" spans="1:6">
      <c r="A10" s="122" t="s">
        <v>736</v>
      </c>
      <c r="B10" s="123" t="s">
        <v>800</v>
      </c>
      <c r="C10" s="133">
        <v>864865599.41999996</v>
      </c>
      <c r="D10" s="102">
        <v>800381808.29999995</v>
      </c>
      <c r="E10" s="18">
        <f>C10-'RZiS 31.12.2018'!C33</f>
        <v>0</v>
      </c>
      <c r="F10" s="18">
        <f>D10-'RZiS 31.12.2018'!D33</f>
        <v>0</v>
      </c>
    </row>
    <row r="11" spans="1:6" ht="22.5" customHeight="1">
      <c r="A11" s="346" t="s">
        <v>801</v>
      </c>
      <c r="B11" s="347"/>
      <c r="C11" s="133">
        <v>7274476.25</v>
      </c>
      <c r="D11" s="133">
        <v>8205087.9299999997</v>
      </c>
    </row>
    <row r="12" spans="1:6">
      <c r="A12" s="346" t="s">
        <v>802</v>
      </c>
      <c r="B12" s="347"/>
      <c r="C12" s="133">
        <v>254753086.13</v>
      </c>
      <c r="D12" s="133">
        <v>301938310.51999998</v>
      </c>
    </row>
    <row r="13" spans="1:6" ht="34.5">
      <c r="A13" s="162"/>
      <c r="B13" s="128" t="s">
        <v>803</v>
      </c>
      <c r="C13" s="106">
        <v>244770</v>
      </c>
      <c r="D13" s="106">
        <v>1881574.21</v>
      </c>
    </row>
    <row r="14" spans="1:6" ht="23.25">
      <c r="A14" s="162"/>
      <c r="B14" s="128" t="s">
        <v>804</v>
      </c>
      <c r="C14" s="106">
        <v>2956364.79</v>
      </c>
      <c r="D14" s="106">
        <v>1743959.39</v>
      </c>
    </row>
    <row r="15" spans="1:6">
      <c r="A15" s="162"/>
      <c r="B15" s="128" t="s">
        <v>805</v>
      </c>
      <c r="C15" s="106">
        <v>251551951.34</v>
      </c>
      <c r="D15" s="106">
        <v>297955960.48000002</v>
      </c>
    </row>
    <row r="16" spans="1:6" ht="23.25">
      <c r="A16" s="162"/>
      <c r="B16" s="128" t="s">
        <v>806</v>
      </c>
      <c r="C16" s="107">
        <v>0</v>
      </c>
      <c r="D16" s="106">
        <v>356816.44</v>
      </c>
    </row>
    <row r="17" spans="1:6">
      <c r="A17" s="346" t="s">
        <v>807</v>
      </c>
      <c r="B17" s="347"/>
      <c r="C17" s="133">
        <v>602838037.03999996</v>
      </c>
      <c r="D17" s="133">
        <v>490238409.85000002</v>
      </c>
    </row>
    <row r="18" spans="1:6">
      <c r="A18" s="162"/>
      <c r="B18" s="128" t="s">
        <v>808</v>
      </c>
      <c r="C18" s="106">
        <v>5708.19</v>
      </c>
      <c r="D18" s="106">
        <v>5074.33</v>
      </c>
    </row>
    <row r="19" spans="1:6">
      <c r="A19" s="162"/>
      <c r="B19" s="128" t="s">
        <v>809</v>
      </c>
      <c r="C19" s="106">
        <v>493388956.56999999</v>
      </c>
      <c r="D19" s="106">
        <v>412913112.85000002</v>
      </c>
    </row>
    <row r="20" spans="1:6">
      <c r="A20" s="162"/>
      <c r="B20" s="128" t="s">
        <v>810</v>
      </c>
      <c r="C20" s="106">
        <v>73636663.379999995</v>
      </c>
      <c r="D20" s="106">
        <v>46681722.799999997</v>
      </c>
    </row>
    <row r="21" spans="1:6" ht="23.25">
      <c r="A21" s="162"/>
      <c r="B21" s="128" t="s">
        <v>811</v>
      </c>
      <c r="C21" s="107">
        <v>0</v>
      </c>
      <c r="D21" s="107">
        <v>0</v>
      </c>
    </row>
    <row r="22" spans="1:6" ht="68.25">
      <c r="A22" s="162"/>
      <c r="B22" s="128" t="s">
        <v>812</v>
      </c>
      <c r="C22" s="106">
        <v>35806708.899999999</v>
      </c>
      <c r="D22" s="106">
        <v>30638499.870000001</v>
      </c>
    </row>
    <row r="23" spans="1:6">
      <c r="A23" s="344" t="s">
        <v>535</v>
      </c>
      <c r="B23" s="345"/>
      <c r="C23" s="125">
        <v>864865599.41999996</v>
      </c>
      <c r="D23" s="125">
        <v>800381808.29999995</v>
      </c>
      <c r="E23" s="18">
        <f>C23-'RZiS 31.12.2018'!C31</f>
        <v>0</v>
      </c>
      <c r="F23" s="18">
        <f>D23-'RZiS 31.12.2018'!D31</f>
        <v>0</v>
      </c>
    </row>
    <row r="24" spans="1:6">
      <c r="A24" s="322"/>
      <c r="B24" s="322"/>
      <c r="C24" s="322"/>
      <c r="D24" s="322"/>
    </row>
    <row r="25" spans="1:6">
      <c r="A25" s="323"/>
      <c r="B25" s="323"/>
      <c r="C25" s="323"/>
      <c r="D25" s="323"/>
    </row>
    <row r="26" spans="1:6">
      <c r="C26" s="18" t="e">
        <f>C23-#REF!</f>
        <v>#REF!</v>
      </c>
      <c r="D26" s="18" t="e">
        <f>D23-#REF!</f>
        <v>#REF!</v>
      </c>
    </row>
  </sheetData>
  <mergeCells count="9">
    <mergeCell ref="A23:B23"/>
    <mergeCell ref="A24:D24"/>
    <mergeCell ref="A25:D25"/>
    <mergeCell ref="A5:D5"/>
    <mergeCell ref="A7:D7"/>
    <mergeCell ref="A8:B8"/>
    <mergeCell ref="A11:B11"/>
    <mergeCell ref="A12:B12"/>
    <mergeCell ref="A17:B17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42"/>
  <sheetViews>
    <sheetView topLeftCell="A14" workbookViewId="0">
      <selection activeCell="H29" sqref="H29"/>
    </sheetView>
  </sheetViews>
  <sheetFormatPr defaultRowHeight="15"/>
  <cols>
    <col min="1" max="1" width="2.28515625" customWidth="1"/>
    <col min="2" max="2" width="36.5703125" bestFit="1" customWidth="1"/>
    <col min="3" max="3" width="18.5703125" bestFit="1" customWidth="1"/>
    <col min="4" max="4" width="15.85546875" bestFit="1" customWidth="1"/>
    <col min="5" max="5" width="11.42578125" bestFit="1" customWidth="1"/>
  </cols>
  <sheetData>
    <row r="3" spans="1:6">
      <c r="A3" s="19"/>
    </row>
    <row r="4" spans="1:6">
      <c r="A4" s="19"/>
    </row>
    <row r="5" spans="1:6" ht="15" customHeight="1">
      <c r="A5" s="305" t="s">
        <v>813</v>
      </c>
      <c r="B5" s="320"/>
      <c r="C5" s="320"/>
      <c r="D5" s="320"/>
    </row>
    <row r="7" spans="1:6">
      <c r="A7" s="321"/>
      <c r="B7" s="321"/>
      <c r="C7" s="321"/>
      <c r="D7" s="321"/>
    </row>
    <row r="8" spans="1:6">
      <c r="A8" s="308" t="s">
        <v>391</v>
      </c>
      <c r="B8" s="309"/>
      <c r="C8" s="94" t="s">
        <v>695</v>
      </c>
      <c r="D8" s="94" t="s">
        <v>696</v>
      </c>
    </row>
    <row r="9" spans="1:6">
      <c r="A9" s="122" t="s">
        <v>726</v>
      </c>
      <c r="B9" s="123" t="s">
        <v>392</v>
      </c>
      <c r="C9" s="133">
        <f>SUM(C10:C11)</f>
        <v>2381361.04</v>
      </c>
      <c r="D9" s="133">
        <f>SUM(D10:D11)</f>
        <v>281570024.23000002</v>
      </c>
      <c r="E9" s="18">
        <f>C9-'RZiS 31.12.2018'!C36</f>
        <v>0</v>
      </c>
      <c r="F9" s="18">
        <f>D9-'RZiS 31.12.2018'!D36</f>
        <v>0</v>
      </c>
    </row>
    <row r="10" spans="1:6">
      <c r="A10" s="162"/>
      <c r="B10" s="128" t="s">
        <v>814</v>
      </c>
      <c r="C10" s="106">
        <v>2121859.84</v>
      </c>
      <c r="D10" s="106">
        <v>2102371.85</v>
      </c>
    </row>
    <row r="11" spans="1:6">
      <c r="A11" s="162"/>
      <c r="B11" s="128" t="s">
        <v>815</v>
      </c>
      <c r="C11" s="106">
        <v>259501.2</v>
      </c>
      <c r="D11" s="106">
        <v>279467652.38</v>
      </c>
    </row>
    <row r="12" spans="1:6">
      <c r="A12" s="122" t="s">
        <v>736</v>
      </c>
      <c r="B12" s="123" t="s">
        <v>816</v>
      </c>
      <c r="C12" s="133">
        <f>SUM(C13:C14)</f>
        <v>149012764.88999999</v>
      </c>
      <c r="D12" s="133">
        <f>SUM(D13:D14)</f>
        <v>126741480.86</v>
      </c>
      <c r="E12" s="18">
        <f>C12-'RZiS 31.12.2018'!C37</f>
        <v>0</v>
      </c>
      <c r="F12" s="18">
        <f>D12-'RZiS 31.12.2018'!D37</f>
        <v>0</v>
      </c>
    </row>
    <row r="13" spans="1:6" ht="57">
      <c r="A13" s="162"/>
      <c r="B13" s="128" t="s">
        <v>817</v>
      </c>
      <c r="C13" s="106">
        <v>74604430.140000001</v>
      </c>
      <c r="D13" s="106">
        <f>56916727.5-82</f>
        <v>56916645.5</v>
      </c>
    </row>
    <row r="14" spans="1:6" ht="23.25">
      <c r="A14" s="162"/>
      <c r="B14" s="128" t="s">
        <v>818</v>
      </c>
      <c r="C14" s="106">
        <v>74408334.75</v>
      </c>
      <c r="D14" s="106">
        <v>69824835.359999999</v>
      </c>
    </row>
    <row r="15" spans="1:6">
      <c r="A15" s="122" t="s">
        <v>738</v>
      </c>
      <c r="B15" s="123" t="s">
        <v>558</v>
      </c>
      <c r="C15" s="133">
        <f>SUM(C16:C21)</f>
        <v>62928469.039999999</v>
      </c>
      <c r="D15" s="133">
        <f>SUM(D16:D21)</f>
        <v>95265625.939999998</v>
      </c>
      <c r="E15" s="18">
        <f>C15-'RZiS 31.12.2018'!C38</f>
        <v>0</v>
      </c>
      <c r="F15" s="18">
        <f>D15-'RZiS 31.12.2018'!D38</f>
        <v>0</v>
      </c>
    </row>
    <row r="16" spans="1:6">
      <c r="A16" s="162"/>
      <c r="B16" s="128" t="s">
        <v>819</v>
      </c>
      <c r="C16" s="107">
        <v>0</v>
      </c>
      <c r="D16" s="106">
        <v>1156888.67</v>
      </c>
    </row>
    <row r="17" spans="1:6" ht="23.25">
      <c r="A17" s="162"/>
      <c r="B17" s="128" t="s">
        <v>820</v>
      </c>
      <c r="C17" s="106">
        <v>60069422.039999999</v>
      </c>
      <c r="D17" s="106">
        <v>92587747.390000001</v>
      </c>
    </row>
    <row r="18" spans="1:6" ht="34.5">
      <c r="A18" s="162"/>
      <c r="B18" s="128" t="s">
        <v>821</v>
      </c>
      <c r="C18" s="107">
        <v>0</v>
      </c>
      <c r="D18" s="107">
        <v>0</v>
      </c>
    </row>
    <row r="19" spans="1:6" ht="23.25">
      <c r="A19" s="162"/>
      <c r="B19" s="128" t="s">
        <v>822</v>
      </c>
      <c r="C19" s="107">
        <v>0</v>
      </c>
      <c r="D19" s="107">
        <v>0</v>
      </c>
    </row>
    <row r="20" spans="1:6">
      <c r="A20" s="162"/>
      <c r="B20" s="128" t="s">
        <v>823</v>
      </c>
      <c r="C20" s="106">
        <v>954680.19</v>
      </c>
      <c r="D20" s="106">
        <v>3604.77</v>
      </c>
    </row>
    <row r="21" spans="1:6" ht="23.25">
      <c r="A21" s="162"/>
      <c r="B21" s="128" t="s">
        <v>824</v>
      </c>
      <c r="C21" s="106">
        <v>1904366.81</v>
      </c>
      <c r="D21" s="106">
        <v>1517385.11</v>
      </c>
    </row>
    <row r="22" spans="1:6" ht="15" customHeight="1">
      <c r="A22" s="350" t="s">
        <v>535</v>
      </c>
      <c r="B22" s="351"/>
      <c r="C22" s="125">
        <f>C9+C12+C15</f>
        <v>214322594.96999997</v>
      </c>
      <c r="D22" s="125">
        <f>D9+D12+D15</f>
        <v>503577131.03000003</v>
      </c>
      <c r="E22" s="18">
        <f>C22-'RZiS 31.12.2018'!C35</f>
        <v>0</v>
      </c>
      <c r="F22" s="18">
        <f>D22-'RZiS 31.12.2018'!D35</f>
        <v>0</v>
      </c>
    </row>
    <row r="23" spans="1:6">
      <c r="A23" s="332"/>
      <c r="B23" s="333"/>
      <c r="C23" s="333"/>
      <c r="D23" s="334"/>
    </row>
    <row r="24" spans="1:6" ht="15" customHeight="1">
      <c r="A24" s="332" t="s">
        <v>825</v>
      </c>
      <c r="B24" s="333"/>
      <c r="C24" s="333"/>
      <c r="D24" s="334"/>
    </row>
    <row r="25" spans="1:6">
      <c r="A25" s="332"/>
      <c r="B25" s="333"/>
      <c r="C25" s="333"/>
      <c r="D25" s="334"/>
    </row>
    <row r="26" spans="1:6" ht="22.5" customHeight="1">
      <c r="A26" s="348" t="s">
        <v>826</v>
      </c>
      <c r="B26" s="349"/>
      <c r="C26" s="107">
        <v>34.64</v>
      </c>
      <c r="D26" s="107">
        <v>0</v>
      </c>
    </row>
    <row r="27" spans="1:6">
      <c r="A27" s="348" t="s">
        <v>827</v>
      </c>
      <c r="B27" s="349"/>
      <c r="C27" s="106">
        <v>2523.15</v>
      </c>
      <c r="D27" s="107">
        <v>276.87</v>
      </c>
    </row>
    <row r="28" spans="1:6">
      <c r="A28" s="348" t="s">
        <v>828</v>
      </c>
      <c r="B28" s="349"/>
      <c r="C28" s="106">
        <v>2438.6999999999998</v>
      </c>
      <c r="D28" s="106">
        <v>1054.28</v>
      </c>
    </row>
    <row r="29" spans="1:6">
      <c r="A29" s="348" t="s">
        <v>829</v>
      </c>
      <c r="B29" s="349"/>
      <c r="C29" s="106">
        <v>58048.55</v>
      </c>
      <c r="D29" s="106">
        <v>65715.460000000006</v>
      </c>
    </row>
    <row r="30" spans="1:6" ht="22.5" customHeight="1">
      <c r="A30" s="348" t="s">
        <v>830</v>
      </c>
      <c r="B30" s="349"/>
      <c r="C30" s="107">
        <v>0</v>
      </c>
      <c r="D30" s="106">
        <v>4459.26</v>
      </c>
    </row>
    <row r="31" spans="1:6">
      <c r="A31" s="348" t="s">
        <v>831</v>
      </c>
      <c r="B31" s="349"/>
      <c r="C31" s="107">
        <v>0</v>
      </c>
      <c r="D31" s="106">
        <v>1200</v>
      </c>
    </row>
    <row r="32" spans="1:6">
      <c r="A32" s="348" t="s">
        <v>832</v>
      </c>
      <c r="B32" s="349"/>
      <c r="C32" s="107">
        <v>0</v>
      </c>
      <c r="D32" s="106">
        <v>591081.88</v>
      </c>
    </row>
    <row r="33" spans="1:4">
      <c r="A33" s="348" t="s">
        <v>833</v>
      </c>
      <c r="B33" s="349"/>
      <c r="C33" s="106">
        <v>1094.82</v>
      </c>
      <c r="D33" s="107">
        <v>0</v>
      </c>
    </row>
    <row r="34" spans="1:4">
      <c r="A34" s="348" t="s">
        <v>834</v>
      </c>
      <c r="B34" s="349"/>
      <c r="C34" s="106">
        <v>635241.11</v>
      </c>
      <c r="D34" s="107">
        <v>0</v>
      </c>
    </row>
    <row r="35" spans="1:4">
      <c r="A35" s="348" t="s">
        <v>825</v>
      </c>
      <c r="B35" s="349"/>
      <c r="C35" s="106">
        <v>5373.62</v>
      </c>
      <c r="D35" s="106">
        <v>3604.77</v>
      </c>
    </row>
    <row r="36" spans="1:4">
      <c r="A36" s="348" t="s">
        <v>835</v>
      </c>
      <c r="B36" s="349"/>
      <c r="C36" s="106">
        <v>312500</v>
      </c>
      <c r="D36" s="107">
        <v>0</v>
      </c>
    </row>
    <row r="37" spans="1:4" ht="22.5" customHeight="1">
      <c r="A37" s="348" t="s">
        <v>836</v>
      </c>
      <c r="B37" s="349"/>
      <c r="C37" s="106">
        <v>72347.47</v>
      </c>
      <c r="D37" s="106">
        <v>95414.8</v>
      </c>
    </row>
    <row r="38" spans="1:4">
      <c r="A38" s="348" t="s">
        <v>837</v>
      </c>
      <c r="B38" s="349"/>
      <c r="C38" s="107">
        <v>490</v>
      </c>
      <c r="D38" s="107">
        <v>341</v>
      </c>
    </row>
    <row r="39" spans="1:4">
      <c r="A39" s="322"/>
      <c r="B39" s="322"/>
      <c r="C39" s="322"/>
      <c r="D39" s="322"/>
    </row>
    <row r="40" spans="1:4">
      <c r="A40" s="323"/>
      <c r="B40" s="323"/>
      <c r="C40" s="323"/>
      <c r="D40" s="323"/>
    </row>
    <row r="42" spans="1:4">
      <c r="C42" s="18" t="e">
        <f>C22-#REF!</f>
        <v>#REF!</v>
      </c>
      <c r="D42" s="18" t="e">
        <f>D22-#REF!</f>
        <v>#REF!</v>
      </c>
    </row>
  </sheetData>
  <mergeCells count="22">
    <mergeCell ref="A37:B37"/>
    <mergeCell ref="A38:B38"/>
    <mergeCell ref="A39:D39"/>
    <mergeCell ref="A40:D40"/>
    <mergeCell ref="A31:B31"/>
    <mergeCell ref="A32:B32"/>
    <mergeCell ref="A33:B33"/>
    <mergeCell ref="A34:B34"/>
    <mergeCell ref="A35:B35"/>
    <mergeCell ref="A36:B36"/>
    <mergeCell ref="A30:B30"/>
    <mergeCell ref="A5:D5"/>
    <mergeCell ref="A7:D7"/>
    <mergeCell ref="A8:B8"/>
    <mergeCell ref="A22:B22"/>
    <mergeCell ref="A23:D23"/>
    <mergeCell ref="A24:D24"/>
    <mergeCell ref="A25:D25"/>
    <mergeCell ref="A26:B26"/>
    <mergeCell ref="A27:B27"/>
    <mergeCell ref="A28:B28"/>
    <mergeCell ref="A29:B29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49"/>
  <sheetViews>
    <sheetView topLeftCell="A24" workbookViewId="0">
      <selection activeCell="H29" sqref="H29"/>
    </sheetView>
  </sheetViews>
  <sheetFormatPr defaultRowHeight="15"/>
  <cols>
    <col min="1" max="1" width="1.85546875" customWidth="1"/>
    <col min="2" max="2" width="36.5703125" bestFit="1" customWidth="1"/>
    <col min="3" max="3" width="18.5703125" bestFit="1" customWidth="1"/>
    <col min="4" max="4" width="15.85546875" bestFit="1" customWidth="1"/>
  </cols>
  <sheetData>
    <row r="3" spans="1:6">
      <c r="A3" s="19"/>
    </row>
    <row r="4" spans="1:6">
      <c r="A4" s="19"/>
    </row>
    <row r="5" spans="1:6" ht="15" customHeight="1">
      <c r="A5" s="305" t="s">
        <v>838</v>
      </c>
      <c r="B5" s="320"/>
      <c r="C5" s="320"/>
      <c r="D5" s="320"/>
    </row>
    <row r="7" spans="1:6">
      <c r="A7" s="321"/>
      <c r="B7" s="321"/>
      <c r="C7" s="321"/>
      <c r="D7" s="321"/>
    </row>
    <row r="8" spans="1:6">
      <c r="A8" s="308" t="s">
        <v>395</v>
      </c>
      <c r="B8" s="309"/>
      <c r="C8" s="94" t="s">
        <v>695</v>
      </c>
      <c r="D8" s="94" t="s">
        <v>696</v>
      </c>
    </row>
    <row r="9" spans="1:6">
      <c r="A9" s="122" t="s">
        <v>726</v>
      </c>
      <c r="B9" s="123" t="s">
        <v>816</v>
      </c>
      <c r="C9" s="133">
        <f>SUM(C10:C11)</f>
        <v>224462048.31999999</v>
      </c>
      <c r="D9" s="133">
        <f>SUM(D10:D11)</f>
        <v>209210724.44999999</v>
      </c>
      <c r="E9" s="18">
        <f>C9-'RZiS 31.12.2018'!C40</f>
        <v>0</v>
      </c>
      <c r="F9" s="18">
        <f>D9-'RZiS 31.12.2018'!D40</f>
        <v>0</v>
      </c>
    </row>
    <row r="10" spans="1:6">
      <c r="A10" s="162"/>
      <c r="B10" s="128" t="s">
        <v>839</v>
      </c>
      <c r="C10" s="106">
        <v>219013426.41999999</v>
      </c>
      <c r="D10" s="106">
        <v>200682007.00999999</v>
      </c>
    </row>
    <row r="11" spans="1:6">
      <c r="A11" s="162"/>
      <c r="B11" s="128" t="s">
        <v>840</v>
      </c>
      <c r="C11" s="106">
        <v>5448621.9000000004</v>
      </c>
      <c r="D11" s="106">
        <f>8528799.44-82</f>
        <v>8528717.4399999995</v>
      </c>
    </row>
    <row r="12" spans="1:6">
      <c r="A12" s="122" t="s">
        <v>736</v>
      </c>
      <c r="B12" s="123" t="s">
        <v>558</v>
      </c>
      <c r="C12" s="133">
        <v>90867344.609999999</v>
      </c>
      <c r="D12" s="133">
        <v>196149959.13999999</v>
      </c>
      <c r="E12" s="18">
        <f>C12-'RZiS 31.12.2018'!C41</f>
        <v>0</v>
      </c>
      <c r="F12" s="18">
        <f>D12-'RZiS 31.12.2018'!D41</f>
        <v>0</v>
      </c>
    </row>
    <row r="13" spans="1:6">
      <c r="A13" s="162"/>
      <c r="B13" s="128" t="s">
        <v>841</v>
      </c>
      <c r="C13" s="107">
        <v>187</v>
      </c>
      <c r="D13" s="107">
        <v>85</v>
      </c>
    </row>
    <row r="14" spans="1:6">
      <c r="A14" s="162"/>
      <c r="B14" s="128" t="s">
        <v>842</v>
      </c>
      <c r="C14" s="107">
        <v>0</v>
      </c>
      <c r="D14" s="107">
        <v>0</v>
      </c>
    </row>
    <row r="15" spans="1:6">
      <c r="A15" s="162"/>
      <c r="B15" s="128" t="s">
        <v>843</v>
      </c>
      <c r="C15" s="106">
        <v>214869.81</v>
      </c>
      <c r="D15" s="106">
        <v>322539.84999999998</v>
      </c>
    </row>
    <row r="16" spans="1:6" ht="23.25">
      <c r="A16" s="162"/>
      <c r="B16" s="128" t="s">
        <v>844</v>
      </c>
      <c r="C16" s="106">
        <v>16435468.029999999</v>
      </c>
      <c r="D16" s="106">
        <v>85857746.599999994</v>
      </c>
    </row>
    <row r="17" spans="1:6" ht="23.25">
      <c r="A17" s="162"/>
      <c r="B17" s="128" t="s">
        <v>845</v>
      </c>
      <c r="C17" s="106">
        <v>65993770.310000002</v>
      </c>
      <c r="D17" s="106">
        <v>84186060.730000004</v>
      </c>
    </row>
    <row r="18" spans="1:6">
      <c r="A18" s="162"/>
      <c r="B18" s="128" t="s">
        <v>846</v>
      </c>
      <c r="C18" s="106">
        <v>1981412.72</v>
      </c>
      <c r="D18" s="106">
        <v>2315117.1</v>
      </c>
    </row>
    <row r="19" spans="1:6">
      <c r="A19" s="162"/>
      <c r="B19" s="128" t="s">
        <v>847</v>
      </c>
      <c r="C19" s="106">
        <v>2302967.4500000002</v>
      </c>
      <c r="D19" s="106">
        <v>7265513.4400000004</v>
      </c>
    </row>
    <row r="20" spans="1:6">
      <c r="A20" s="162"/>
      <c r="B20" s="128" t="s">
        <v>609</v>
      </c>
      <c r="C20" s="106">
        <v>3938669.29</v>
      </c>
      <c r="D20" s="106">
        <v>16202896.42</v>
      </c>
    </row>
    <row r="21" spans="1:6">
      <c r="A21" s="344" t="s">
        <v>535</v>
      </c>
      <c r="B21" s="345"/>
      <c r="C21" s="125">
        <v>315329392.93000001</v>
      </c>
      <c r="D21" s="125">
        <v>405360765.58999997</v>
      </c>
      <c r="E21" s="18">
        <f>C21-'RZiS 31.12.2018'!C39</f>
        <v>0</v>
      </c>
      <c r="F21" s="18">
        <f>D21-'RZiS 31.12.2018'!D39</f>
        <v>82</v>
      </c>
    </row>
    <row r="22" spans="1:6">
      <c r="A22" s="332"/>
      <c r="B22" s="333"/>
      <c r="C22" s="333"/>
      <c r="D22" s="334"/>
    </row>
    <row r="23" spans="1:6" ht="15" customHeight="1">
      <c r="A23" s="332" t="s">
        <v>848</v>
      </c>
      <c r="B23" s="333"/>
      <c r="C23" s="333"/>
      <c r="D23" s="334"/>
    </row>
    <row r="24" spans="1:6">
      <c r="A24" s="332"/>
      <c r="B24" s="333"/>
      <c r="C24" s="333"/>
      <c r="D24" s="334"/>
    </row>
    <row r="25" spans="1:6">
      <c r="A25" s="348"/>
      <c r="B25" s="349"/>
      <c r="C25" s="107">
        <v>0.01</v>
      </c>
      <c r="D25" s="107">
        <v>0</v>
      </c>
    </row>
    <row r="26" spans="1:6">
      <c r="A26" s="348" t="s">
        <v>849</v>
      </c>
      <c r="B26" s="349"/>
      <c r="C26" s="107">
        <v>357.62</v>
      </c>
      <c r="D26" s="107">
        <v>0</v>
      </c>
    </row>
    <row r="27" spans="1:6" ht="22.5" customHeight="1">
      <c r="A27" s="348" t="s">
        <v>850</v>
      </c>
      <c r="B27" s="349"/>
      <c r="C27" s="106">
        <v>3083.22</v>
      </c>
      <c r="D27" s="107">
        <v>545.66999999999996</v>
      </c>
    </row>
    <row r="28" spans="1:6" ht="33.75" customHeight="1">
      <c r="A28" s="348" t="s">
        <v>851</v>
      </c>
      <c r="B28" s="349"/>
      <c r="C28" s="106">
        <v>1094.58</v>
      </c>
      <c r="D28" s="107">
        <v>0</v>
      </c>
    </row>
    <row r="29" spans="1:6" ht="22.5" customHeight="1">
      <c r="A29" s="348" t="s">
        <v>852</v>
      </c>
      <c r="B29" s="349"/>
      <c r="C29" s="106">
        <v>2294535.84</v>
      </c>
      <c r="D29" s="106">
        <v>3229280.58</v>
      </c>
    </row>
    <row r="30" spans="1:6">
      <c r="A30" s="348" t="s">
        <v>853</v>
      </c>
      <c r="B30" s="349"/>
      <c r="C30" s="106">
        <v>23514.51</v>
      </c>
      <c r="D30" s="107">
        <v>0</v>
      </c>
    </row>
    <row r="31" spans="1:6" ht="33.75" customHeight="1">
      <c r="A31" s="348" t="s">
        <v>854</v>
      </c>
      <c r="B31" s="349"/>
      <c r="C31" s="107">
        <v>0</v>
      </c>
      <c r="D31" s="106">
        <v>360043.34</v>
      </c>
    </row>
    <row r="32" spans="1:6">
      <c r="A32" s="348" t="s">
        <v>855</v>
      </c>
      <c r="B32" s="349"/>
      <c r="C32" s="106">
        <v>1544535.58</v>
      </c>
      <c r="D32" s="107">
        <v>0</v>
      </c>
    </row>
    <row r="33" spans="1:4">
      <c r="A33" s="348" t="s">
        <v>856</v>
      </c>
      <c r="B33" s="349"/>
      <c r="C33" s="107">
        <v>51</v>
      </c>
      <c r="D33" s="107">
        <v>0</v>
      </c>
    </row>
    <row r="34" spans="1:4">
      <c r="A34" s="348" t="s">
        <v>857</v>
      </c>
      <c r="B34" s="349"/>
      <c r="C34" s="106">
        <v>5395.92</v>
      </c>
      <c r="D34" s="107">
        <v>0</v>
      </c>
    </row>
    <row r="35" spans="1:4">
      <c r="A35" s="348" t="s">
        <v>858</v>
      </c>
      <c r="B35" s="349"/>
      <c r="C35" s="106">
        <v>10241.11</v>
      </c>
      <c r="D35" s="107">
        <v>0</v>
      </c>
    </row>
    <row r="36" spans="1:4">
      <c r="A36" s="348" t="s">
        <v>859</v>
      </c>
      <c r="B36" s="349"/>
      <c r="C36" s="107">
        <v>643.20000000000005</v>
      </c>
      <c r="D36" s="107">
        <v>0</v>
      </c>
    </row>
    <row r="37" spans="1:4">
      <c r="A37" s="348" t="s">
        <v>860</v>
      </c>
      <c r="B37" s="349"/>
      <c r="C37" s="106">
        <v>1360435.93</v>
      </c>
      <c r="D37" s="107">
        <v>0</v>
      </c>
    </row>
    <row r="38" spans="1:4" ht="22.5" customHeight="1">
      <c r="A38" s="348" t="s">
        <v>861</v>
      </c>
      <c r="B38" s="349"/>
      <c r="C38" s="106">
        <v>3970.26</v>
      </c>
      <c r="D38" s="106">
        <v>5193</v>
      </c>
    </row>
    <row r="39" spans="1:4">
      <c r="A39" s="348" t="s">
        <v>862</v>
      </c>
      <c r="B39" s="349"/>
      <c r="C39" s="107">
        <v>0</v>
      </c>
      <c r="D39" s="106">
        <v>354252.64</v>
      </c>
    </row>
    <row r="40" spans="1:4">
      <c r="A40" s="348" t="s">
        <v>863</v>
      </c>
      <c r="B40" s="349"/>
      <c r="C40" s="107">
        <v>0</v>
      </c>
      <c r="D40" s="107">
        <v>199.22</v>
      </c>
    </row>
    <row r="41" spans="1:4">
      <c r="A41" s="348" t="s">
        <v>864</v>
      </c>
      <c r="B41" s="349"/>
      <c r="C41" s="107">
        <v>50.87</v>
      </c>
      <c r="D41" s="106">
        <v>5515.78</v>
      </c>
    </row>
    <row r="42" spans="1:4">
      <c r="A42" s="348" t="s">
        <v>865</v>
      </c>
      <c r="B42" s="349"/>
      <c r="C42" s="106">
        <v>7741.02</v>
      </c>
      <c r="D42" s="106">
        <v>9932.9699999999993</v>
      </c>
    </row>
    <row r="43" spans="1:4">
      <c r="A43" s="348" t="s">
        <v>866</v>
      </c>
      <c r="B43" s="349"/>
      <c r="C43" s="106">
        <v>35100.199999999997</v>
      </c>
      <c r="D43" s="106">
        <v>600990.57999999996</v>
      </c>
    </row>
    <row r="44" spans="1:4" ht="22.5" customHeight="1">
      <c r="A44" s="348" t="s">
        <v>867</v>
      </c>
      <c r="B44" s="349"/>
      <c r="C44" s="106">
        <v>7132.84</v>
      </c>
      <c r="D44" s="106">
        <v>7347.91</v>
      </c>
    </row>
    <row r="45" spans="1:4">
      <c r="A45" s="348" t="s">
        <v>868</v>
      </c>
      <c r="B45" s="349"/>
      <c r="C45" s="107">
        <v>0</v>
      </c>
      <c r="D45" s="106">
        <v>52888.82</v>
      </c>
    </row>
    <row r="46" spans="1:4">
      <c r="A46" s="322"/>
      <c r="B46" s="322"/>
      <c r="C46" s="322"/>
      <c r="D46" s="322"/>
    </row>
    <row r="47" spans="1:4">
      <c r="A47" s="323"/>
      <c r="B47" s="323"/>
      <c r="C47" s="323"/>
      <c r="D47" s="323"/>
    </row>
    <row r="49" spans="3:4">
      <c r="C49" s="18" t="e">
        <f>C21-#REF!</f>
        <v>#REF!</v>
      </c>
      <c r="D49" s="18" t="e">
        <f>D21-#REF!</f>
        <v>#REF!</v>
      </c>
    </row>
  </sheetData>
  <mergeCells count="30">
    <mergeCell ref="A47:D47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D46"/>
    <mergeCell ref="A35:B35"/>
    <mergeCell ref="A24:D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23:D23"/>
    <mergeCell ref="A5:D5"/>
    <mergeCell ref="A7:D7"/>
    <mergeCell ref="A8:B8"/>
    <mergeCell ref="A21:B21"/>
    <mergeCell ref="A22:D22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7"/>
  <sheetViews>
    <sheetView topLeftCell="A22" workbookViewId="0">
      <selection activeCell="H29" sqref="H29"/>
    </sheetView>
  </sheetViews>
  <sheetFormatPr defaultRowHeight="15"/>
  <cols>
    <col min="1" max="1" width="5.7109375" customWidth="1"/>
    <col min="2" max="2" width="59" customWidth="1"/>
    <col min="3" max="5" width="49.5703125" customWidth="1"/>
    <col min="6" max="6" width="50.140625" customWidth="1"/>
  </cols>
  <sheetData>
    <row r="3" spans="1:6">
      <c r="A3" s="19"/>
    </row>
    <row r="4" spans="1:6">
      <c r="A4" s="19"/>
    </row>
    <row r="5" spans="1:6" ht="15" customHeight="1">
      <c r="A5" s="305" t="s">
        <v>869</v>
      </c>
      <c r="B5" s="320"/>
      <c r="C5" s="320"/>
      <c r="D5" s="320"/>
      <c r="E5" s="320"/>
      <c r="F5" s="320"/>
    </row>
    <row r="7" spans="1:6">
      <c r="A7" s="164" t="s">
        <v>80</v>
      </c>
      <c r="B7" s="164" t="s">
        <v>870</v>
      </c>
      <c r="C7" s="165" t="s">
        <v>681</v>
      </c>
      <c r="D7" s="165" t="s">
        <v>871</v>
      </c>
      <c r="E7" s="165" t="s">
        <v>697</v>
      </c>
      <c r="F7" s="165" t="s">
        <v>700</v>
      </c>
    </row>
    <row r="8" spans="1:6">
      <c r="A8" s="166"/>
      <c r="B8" s="166"/>
      <c r="C8" s="167"/>
      <c r="D8" s="167"/>
      <c r="E8" s="167"/>
      <c r="F8" s="167"/>
    </row>
    <row r="9" spans="1:6">
      <c r="A9" s="168"/>
      <c r="B9" s="168"/>
      <c r="C9" s="169" t="s">
        <v>494</v>
      </c>
      <c r="D9" s="169" t="s">
        <v>494</v>
      </c>
      <c r="E9" s="169" t="s">
        <v>494</v>
      </c>
      <c r="F9" s="169" t="s">
        <v>494</v>
      </c>
    </row>
    <row r="10" spans="1:6">
      <c r="A10" s="45">
        <v>1</v>
      </c>
      <c r="B10" s="46" t="s">
        <v>872</v>
      </c>
      <c r="C10" s="14">
        <v>24348251.609999999</v>
      </c>
      <c r="D10" s="14">
        <v>26588072.829999998</v>
      </c>
      <c r="E10" s="14">
        <v>192662585.68000001</v>
      </c>
      <c r="F10" s="14">
        <v>223414850.87</v>
      </c>
    </row>
    <row r="11" spans="1:6">
      <c r="A11" s="45" t="s">
        <v>873</v>
      </c>
      <c r="B11" s="46" t="s">
        <v>874</v>
      </c>
      <c r="C11" s="30">
        <v>0</v>
      </c>
      <c r="D11" s="14">
        <v>69290</v>
      </c>
      <c r="E11" s="14">
        <v>57303</v>
      </c>
      <c r="F11" s="14">
        <v>1239266</v>
      </c>
    </row>
    <row r="12" spans="1:6">
      <c r="A12" s="45" t="s">
        <v>873</v>
      </c>
      <c r="B12" s="46" t="s">
        <v>460</v>
      </c>
      <c r="C12" s="30">
        <v>0</v>
      </c>
      <c r="D12" s="14">
        <v>348140.66</v>
      </c>
      <c r="E12" s="30">
        <v>0</v>
      </c>
      <c r="F12" s="14">
        <v>4634560.4000000004</v>
      </c>
    </row>
    <row r="13" spans="1:6">
      <c r="A13" s="45" t="s">
        <v>873</v>
      </c>
      <c r="B13" s="46" t="s">
        <v>461</v>
      </c>
      <c r="C13" s="30">
        <v>586.15</v>
      </c>
      <c r="D13" s="30">
        <v>0</v>
      </c>
      <c r="E13" s="14">
        <v>1849372</v>
      </c>
      <c r="F13" s="30">
        <v>0</v>
      </c>
    </row>
    <row r="14" spans="1:6">
      <c r="A14" s="45" t="s">
        <v>873</v>
      </c>
      <c r="B14" s="46" t="s">
        <v>464</v>
      </c>
      <c r="C14" s="30">
        <v>0</v>
      </c>
      <c r="D14" s="30">
        <v>0</v>
      </c>
      <c r="E14" s="30">
        <v>0</v>
      </c>
      <c r="F14" s="14">
        <v>3837.6</v>
      </c>
    </row>
    <row r="15" spans="1:6" ht="22.5">
      <c r="A15" s="45" t="s">
        <v>873</v>
      </c>
      <c r="B15" s="46" t="s">
        <v>462</v>
      </c>
      <c r="C15" s="30">
        <v>0</v>
      </c>
      <c r="D15" s="14">
        <v>24716849.739999998</v>
      </c>
      <c r="E15" s="14">
        <v>6361705.6399999997</v>
      </c>
      <c r="F15" s="14">
        <v>212687367.53</v>
      </c>
    </row>
    <row r="16" spans="1:6">
      <c r="A16" s="45" t="s">
        <v>873</v>
      </c>
      <c r="B16" s="46" t="s">
        <v>463</v>
      </c>
      <c r="C16" s="30">
        <v>13.92</v>
      </c>
      <c r="D16" s="14">
        <v>3500</v>
      </c>
      <c r="E16" s="14">
        <v>4127491.77</v>
      </c>
      <c r="F16" s="14">
        <v>1200</v>
      </c>
    </row>
    <row r="17" spans="1:6">
      <c r="A17" s="45" t="s">
        <v>873</v>
      </c>
      <c r="B17" s="46" t="s">
        <v>465</v>
      </c>
      <c r="C17" s="30">
        <v>0</v>
      </c>
      <c r="D17" s="30">
        <v>0</v>
      </c>
      <c r="E17" s="14">
        <v>20440.29</v>
      </c>
      <c r="F17" s="30">
        <v>0</v>
      </c>
    </row>
    <row r="18" spans="1:6" ht="22.5">
      <c r="A18" s="45" t="s">
        <v>873</v>
      </c>
      <c r="B18" s="46" t="s">
        <v>466</v>
      </c>
      <c r="C18" s="14">
        <v>325131.61</v>
      </c>
      <c r="D18" s="14">
        <v>1112309.29</v>
      </c>
      <c r="E18" s="14">
        <v>145208880.09</v>
      </c>
      <c r="F18" s="14">
        <v>1704226.69</v>
      </c>
    </row>
    <row r="19" spans="1:6">
      <c r="A19" s="45" t="s">
        <v>873</v>
      </c>
      <c r="B19" s="46" t="s">
        <v>467</v>
      </c>
      <c r="C19" s="30">
        <v>866.25</v>
      </c>
      <c r="D19" s="14">
        <v>113800</v>
      </c>
      <c r="E19" s="14">
        <v>5010354</v>
      </c>
      <c r="F19" s="14">
        <v>936870</v>
      </c>
    </row>
    <row r="20" spans="1:6" ht="22.5">
      <c r="A20" s="45" t="s">
        <v>873</v>
      </c>
      <c r="B20" s="46" t="s">
        <v>488</v>
      </c>
      <c r="C20" s="30">
        <v>0</v>
      </c>
      <c r="D20" s="30">
        <v>0</v>
      </c>
      <c r="E20" s="14">
        <v>2014985</v>
      </c>
      <c r="F20" s="30">
        <v>0</v>
      </c>
    </row>
    <row r="21" spans="1:6">
      <c r="A21" s="45" t="s">
        <v>873</v>
      </c>
      <c r="B21" s="46" t="s">
        <v>875</v>
      </c>
      <c r="C21" s="14">
        <v>668218.77</v>
      </c>
      <c r="D21" s="30">
        <v>0</v>
      </c>
      <c r="E21" s="30">
        <v>0</v>
      </c>
      <c r="F21" s="30">
        <v>0</v>
      </c>
    </row>
    <row r="22" spans="1:6">
      <c r="A22" s="45" t="s">
        <v>873</v>
      </c>
      <c r="B22" s="46" t="s">
        <v>876</v>
      </c>
      <c r="C22" s="30">
        <v>2</v>
      </c>
      <c r="D22" s="30">
        <v>0</v>
      </c>
      <c r="E22" s="14">
        <v>271790</v>
      </c>
      <c r="F22" s="30">
        <v>0</v>
      </c>
    </row>
    <row r="23" spans="1:6" ht="22.5">
      <c r="A23" s="45" t="s">
        <v>873</v>
      </c>
      <c r="B23" s="46" t="s">
        <v>877</v>
      </c>
      <c r="C23" s="30">
        <v>0</v>
      </c>
      <c r="D23" s="14">
        <v>163806.15</v>
      </c>
      <c r="E23" s="30">
        <v>0</v>
      </c>
      <c r="F23" s="14">
        <v>1522402.25</v>
      </c>
    </row>
    <row r="24" spans="1:6">
      <c r="A24" s="45" t="s">
        <v>873</v>
      </c>
      <c r="B24" s="46" t="s">
        <v>480</v>
      </c>
      <c r="C24" s="30">
        <v>0</v>
      </c>
      <c r="D24" s="30">
        <v>0</v>
      </c>
      <c r="E24" s="14">
        <v>1151.3399999999999</v>
      </c>
      <c r="F24" s="30">
        <v>0</v>
      </c>
    </row>
    <row r="25" spans="1:6">
      <c r="A25" s="45" t="s">
        <v>873</v>
      </c>
      <c r="B25" s="46" t="s">
        <v>878</v>
      </c>
      <c r="C25" s="30">
        <v>0</v>
      </c>
      <c r="D25" s="30">
        <v>0</v>
      </c>
      <c r="E25" s="14">
        <v>52236.27</v>
      </c>
      <c r="F25" s="30">
        <v>0</v>
      </c>
    </row>
    <row r="26" spans="1:6">
      <c r="A26" s="45" t="s">
        <v>873</v>
      </c>
      <c r="B26" s="46" t="s">
        <v>879</v>
      </c>
      <c r="C26" s="30">
        <v>0</v>
      </c>
      <c r="D26" s="14">
        <v>6765</v>
      </c>
      <c r="E26" s="14">
        <v>413925</v>
      </c>
      <c r="F26" s="14">
        <v>170970</v>
      </c>
    </row>
    <row r="27" spans="1:6">
      <c r="A27" s="45" t="s">
        <v>873</v>
      </c>
      <c r="B27" s="46" t="s">
        <v>880</v>
      </c>
      <c r="C27" s="30">
        <v>0</v>
      </c>
      <c r="D27" s="14">
        <v>2296</v>
      </c>
      <c r="E27" s="30">
        <v>0</v>
      </c>
      <c r="F27" s="14">
        <v>46518</v>
      </c>
    </row>
    <row r="28" spans="1:6">
      <c r="A28" s="45" t="s">
        <v>873</v>
      </c>
      <c r="B28" s="46" t="s">
        <v>470</v>
      </c>
      <c r="C28" s="30">
        <v>0</v>
      </c>
      <c r="D28" s="30">
        <v>0</v>
      </c>
      <c r="E28" s="14">
        <v>4536</v>
      </c>
      <c r="F28" s="30">
        <v>0</v>
      </c>
    </row>
    <row r="29" spans="1:6">
      <c r="A29" s="45" t="s">
        <v>873</v>
      </c>
      <c r="B29" s="46" t="s">
        <v>472</v>
      </c>
      <c r="C29" s="14">
        <v>11250000</v>
      </c>
      <c r="D29" s="30">
        <v>0</v>
      </c>
      <c r="E29" s="14">
        <v>773948.87</v>
      </c>
      <c r="F29" s="14">
        <v>57057.32</v>
      </c>
    </row>
    <row r="30" spans="1:6" ht="22.5">
      <c r="A30" s="45" t="s">
        <v>873</v>
      </c>
      <c r="B30" s="46" t="s">
        <v>471</v>
      </c>
      <c r="C30" s="14">
        <v>12103432.91</v>
      </c>
      <c r="D30" s="30">
        <v>462</v>
      </c>
      <c r="E30" s="14">
        <v>611838.61</v>
      </c>
      <c r="F30" s="30">
        <v>0</v>
      </c>
    </row>
    <row r="31" spans="1:6">
      <c r="A31" s="45" t="s">
        <v>873</v>
      </c>
      <c r="B31" s="46" t="s">
        <v>473</v>
      </c>
      <c r="C31" s="30">
        <v>0</v>
      </c>
      <c r="D31" s="14">
        <v>50853.99</v>
      </c>
      <c r="E31" s="14">
        <v>24906241.760000002</v>
      </c>
      <c r="F31" s="14">
        <v>109990.08</v>
      </c>
    </row>
    <row r="32" spans="1:6">
      <c r="A32" s="45" t="s">
        <v>873</v>
      </c>
      <c r="B32" s="46" t="s">
        <v>474</v>
      </c>
      <c r="C32" s="30">
        <v>0</v>
      </c>
      <c r="D32" s="30">
        <v>0</v>
      </c>
      <c r="E32" s="14">
        <v>976386.04</v>
      </c>
      <c r="F32" s="14">
        <v>300585</v>
      </c>
    </row>
    <row r="33" spans="1:6">
      <c r="A33" s="45">
        <v>2</v>
      </c>
      <c r="B33" s="46" t="s">
        <v>881</v>
      </c>
      <c r="C33" s="14">
        <v>17702.52</v>
      </c>
      <c r="D33" s="14">
        <v>113981.85</v>
      </c>
      <c r="E33" s="14">
        <v>2124512.1</v>
      </c>
      <c r="F33" s="14">
        <v>5159812.6500000004</v>
      </c>
    </row>
    <row r="34" spans="1:6">
      <c r="A34" s="45">
        <v>3</v>
      </c>
      <c r="B34" s="46" t="s">
        <v>882</v>
      </c>
      <c r="C34" s="14">
        <v>7457.18</v>
      </c>
      <c r="D34" s="14">
        <v>1734.26</v>
      </c>
      <c r="E34" s="14">
        <v>664447.6</v>
      </c>
      <c r="F34" s="14">
        <v>233967.7</v>
      </c>
    </row>
    <row r="35" spans="1:6">
      <c r="A35" s="157"/>
      <c r="B35" s="157" t="s">
        <v>485</v>
      </c>
      <c r="C35" s="59">
        <v>24373411.309999999</v>
      </c>
      <c r="D35" s="59">
        <v>26703788.940000001</v>
      </c>
      <c r="E35" s="59">
        <v>195451545.38</v>
      </c>
      <c r="F35" s="59">
        <v>228808631.22</v>
      </c>
    </row>
    <row r="37" spans="1:6">
      <c r="C37" s="18" t="e">
        <f>C35-#REF!</f>
        <v>#REF!</v>
      </c>
      <c r="D37" s="18" t="e">
        <f>D35-#REF!</f>
        <v>#REF!</v>
      </c>
      <c r="E37" s="18" t="e">
        <f>E35-#REF!</f>
        <v>#REF!</v>
      </c>
      <c r="F37" s="18" t="e">
        <f>F35-#REF!</f>
        <v>#REF!</v>
      </c>
    </row>
  </sheetData>
  <mergeCells count="1">
    <mergeCell ref="A5:F5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1"/>
  <sheetViews>
    <sheetView workbookViewId="0">
      <selection activeCell="H29" sqref="H29"/>
    </sheetView>
  </sheetViews>
  <sheetFormatPr defaultRowHeight="15"/>
  <cols>
    <col min="1" max="1" width="3" customWidth="1"/>
    <col min="2" max="2" width="14.140625" bestFit="1" customWidth="1"/>
    <col min="3" max="4" width="36.5703125" bestFit="1" customWidth="1"/>
  </cols>
  <sheetData>
    <row r="3" spans="1:4">
      <c r="A3" s="19"/>
    </row>
    <row r="4" spans="1:4">
      <c r="A4" s="19"/>
    </row>
    <row r="5" spans="1:4" ht="15" customHeight="1">
      <c r="A5" s="305" t="s">
        <v>883</v>
      </c>
      <c r="B5" s="320"/>
      <c r="C5" s="320"/>
      <c r="D5" s="320"/>
    </row>
    <row r="7" spans="1:4">
      <c r="A7" s="321"/>
      <c r="B7" s="321"/>
      <c r="C7" s="321"/>
      <c r="D7" s="321"/>
    </row>
    <row r="8" spans="1:4" ht="23.25">
      <c r="A8" s="94" t="s">
        <v>80</v>
      </c>
      <c r="B8" s="94" t="s">
        <v>420</v>
      </c>
      <c r="C8" s="94" t="s">
        <v>884</v>
      </c>
      <c r="D8" s="94" t="s">
        <v>885</v>
      </c>
    </row>
    <row r="9" spans="1:4">
      <c r="A9" s="128" t="s">
        <v>109</v>
      </c>
      <c r="B9" s="134" t="s">
        <v>886</v>
      </c>
      <c r="C9" s="106">
        <v>8511.75</v>
      </c>
      <c r="D9" s="106">
        <v>8858</v>
      </c>
    </row>
    <row r="10" spans="1:4">
      <c r="A10" s="322"/>
      <c r="B10" s="322"/>
      <c r="C10" s="322"/>
      <c r="D10" s="322"/>
    </row>
    <row r="11" spans="1:4">
      <c r="A11" s="323"/>
      <c r="B11" s="323"/>
      <c r="C11" s="323"/>
      <c r="D11" s="323"/>
    </row>
  </sheetData>
  <mergeCells count="4">
    <mergeCell ref="A5:D5"/>
    <mergeCell ref="A7:D7"/>
    <mergeCell ref="A10:D10"/>
    <mergeCell ref="A11:D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5"/>
  <sheetViews>
    <sheetView topLeftCell="A31" workbookViewId="0">
      <pane xSplit="2" ySplit="3" topLeftCell="N34" activePane="bottomRight" state="frozen"/>
      <selection activeCell="B47" sqref="B47"/>
      <selection pane="topRight" activeCell="B47" sqref="B47"/>
      <selection pane="bottomLeft" activeCell="B47" sqref="B47"/>
      <selection pane="bottomRight" activeCell="B47" sqref="B47"/>
    </sheetView>
  </sheetViews>
  <sheetFormatPr defaultRowHeight="15"/>
  <cols>
    <col min="1" max="1" width="3.7109375" bestFit="1" customWidth="1"/>
    <col min="2" max="2" width="41.140625" bestFit="1" customWidth="1"/>
    <col min="3" max="21" width="17.85546875" customWidth="1"/>
    <col min="22" max="23" width="19.5703125" bestFit="1" customWidth="1"/>
    <col min="24" max="24" width="20.28515625" customWidth="1"/>
  </cols>
  <sheetData>
    <row r="1" spans="1:23">
      <c r="B1" s="4" t="s">
        <v>163</v>
      </c>
      <c r="C1" s="5">
        <v>43248</v>
      </c>
    </row>
    <row r="2" spans="1:23" s="7" customFormat="1" ht="31.5">
      <c r="A2" s="6" t="s">
        <v>80</v>
      </c>
      <c r="B2" s="6" t="s">
        <v>81</v>
      </c>
      <c r="C2" s="6" t="s">
        <v>82</v>
      </c>
      <c r="D2" s="6" t="s">
        <v>83</v>
      </c>
      <c r="E2" s="6" t="s">
        <v>84</v>
      </c>
      <c r="F2" s="6" t="s">
        <v>85</v>
      </c>
      <c r="G2" s="6" t="s">
        <v>86</v>
      </c>
      <c r="H2" s="6" t="s">
        <v>87</v>
      </c>
      <c r="I2" s="6" t="s">
        <v>88</v>
      </c>
      <c r="J2" s="6" t="s">
        <v>89</v>
      </c>
      <c r="K2" s="6" t="s">
        <v>90</v>
      </c>
      <c r="L2" s="6" t="s">
        <v>91</v>
      </c>
      <c r="M2" s="6" t="s">
        <v>92</v>
      </c>
      <c r="N2" s="6" t="s">
        <v>93</v>
      </c>
      <c r="O2" s="6" t="s">
        <v>94</v>
      </c>
      <c r="P2" s="6" t="s">
        <v>95</v>
      </c>
      <c r="Q2" s="6" t="s">
        <v>96</v>
      </c>
      <c r="R2" s="6" t="s">
        <v>97</v>
      </c>
      <c r="S2" s="6" t="s">
        <v>98</v>
      </c>
      <c r="T2" s="6" t="s">
        <v>99</v>
      </c>
      <c r="U2" s="6" t="s">
        <v>100</v>
      </c>
      <c r="V2" s="6" t="s">
        <v>101</v>
      </c>
      <c r="W2" s="6" t="s">
        <v>102</v>
      </c>
    </row>
    <row r="3" spans="1:23" s="11" customFormat="1" ht="10.5">
      <c r="A3" s="8" t="s">
        <v>103</v>
      </c>
      <c r="B3" s="9" t="s">
        <v>164</v>
      </c>
      <c r="C3" s="10">
        <v>7431706560.0699997</v>
      </c>
      <c r="D3" s="10">
        <v>3461979400.7800002</v>
      </c>
      <c r="E3" s="10">
        <v>2841453364.0799999</v>
      </c>
      <c r="F3" s="10">
        <v>2965121939.27</v>
      </c>
      <c r="G3" s="10">
        <v>22339584674.290001</v>
      </c>
      <c r="H3" s="10">
        <v>4861205306.2399998</v>
      </c>
      <c r="I3" s="10">
        <v>6349328230.2299995</v>
      </c>
      <c r="J3" s="10">
        <v>555073892.24000001</v>
      </c>
      <c r="K3" s="10">
        <v>278228678.18000001</v>
      </c>
      <c r="L3" s="10">
        <v>8477734981.2799997</v>
      </c>
      <c r="M3" s="10">
        <v>2873286804.6100001</v>
      </c>
      <c r="N3" s="10">
        <v>842319888.67999995</v>
      </c>
      <c r="O3" s="10">
        <v>7187622570.8699999</v>
      </c>
      <c r="P3" s="10">
        <v>1069020647.37</v>
      </c>
      <c r="Q3" s="10">
        <v>642147650.73000002</v>
      </c>
      <c r="R3" s="10">
        <v>1494844365.6400001</v>
      </c>
      <c r="S3" s="10">
        <v>665214525.45000005</v>
      </c>
      <c r="T3" s="10">
        <v>11010942143.200001</v>
      </c>
      <c r="U3" s="10">
        <v>3233040976.6300001</v>
      </c>
      <c r="V3" s="10">
        <v>-128439183.59999999</v>
      </c>
      <c r="W3" s="10">
        <v>108448472201.25</v>
      </c>
    </row>
    <row r="4" spans="1:23" s="7" customFormat="1" ht="10.5">
      <c r="A4" s="12" t="s">
        <v>105</v>
      </c>
      <c r="B4" s="13" t="s">
        <v>165</v>
      </c>
      <c r="C4" s="14">
        <v>-2943637074.7800002</v>
      </c>
      <c r="D4" s="14">
        <v>3540106673.7399998</v>
      </c>
      <c r="E4" s="14">
        <v>2923133444.7600002</v>
      </c>
      <c r="F4" s="14">
        <v>3053843435.79</v>
      </c>
      <c r="G4" s="14">
        <v>22390598017.950001</v>
      </c>
      <c r="H4" s="14">
        <v>4853038218.3199997</v>
      </c>
      <c r="I4" s="14">
        <v>6424445334.3100004</v>
      </c>
      <c r="J4" s="14">
        <v>633609120.92999995</v>
      </c>
      <c r="K4" s="14">
        <v>308599712.20999998</v>
      </c>
      <c r="L4" s="14">
        <v>8358551342.9099998</v>
      </c>
      <c r="M4" s="14">
        <v>2940622385</v>
      </c>
      <c r="N4" s="14">
        <v>901737004.76999998</v>
      </c>
      <c r="O4" s="14">
        <v>7218551555.1000004</v>
      </c>
      <c r="P4" s="14">
        <v>1130480028.96</v>
      </c>
      <c r="Q4" s="14">
        <v>679733408.37</v>
      </c>
      <c r="R4" s="14">
        <v>1539364545.3499999</v>
      </c>
      <c r="S4" s="14">
        <v>673458371.84000003</v>
      </c>
      <c r="T4" s="14">
        <v>10983238834.459999</v>
      </c>
      <c r="U4" s="14">
        <v>3233181830.7399998</v>
      </c>
      <c r="V4" s="14">
        <v>168661052.09</v>
      </c>
      <c r="W4" s="14">
        <v>105459240497.96001</v>
      </c>
    </row>
    <row r="5" spans="1:23" s="7" customFormat="1" ht="10.5">
      <c r="A5" s="12" t="s">
        <v>107</v>
      </c>
      <c r="B5" s="13" t="s">
        <v>166</v>
      </c>
      <c r="C5" s="14">
        <v>10375343634.85</v>
      </c>
      <c r="D5" s="14">
        <v>-78127272.959999993</v>
      </c>
      <c r="E5" s="14">
        <v>-81680080.680000007</v>
      </c>
      <c r="F5" s="14">
        <v>-88721496.519999996</v>
      </c>
      <c r="G5" s="14">
        <v>-51013343.659999996</v>
      </c>
      <c r="H5" s="14">
        <v>8167087.9199999999</v>
      </c>
      <c r="I5" s="14">
        <v>-75117104.079999998</v>
      </c>
      <c r="J5" s="14">
        <v>-78535228.689999998</v>
      </c>
      <c r="K5" s="14">
        <v>-30371034.030000001</v>
      </c>
      <c r="L5" s="14">
        <v>119183638.37</v>
      </c>
      <c r="M5" s="14">
        <v>-67335580.390000001</v>
      </c>
      <c r="N5" s="14">
        <v>-59417116.090000004</v>
      </c>
      <c r="O5" s="14">
        <v>-30928984.23</v>
      </c>
      <c r="P5" s="14">
        <v>-61459381.590000004</v>
      </c>
      <c r="Q5" s="14">
        <v>-37585757.640000001</v>
      </c>
      <c r="R5" s="14">
        <v>-44520179.710000001</v>
      </c>
      <c r="S5" s="14">
        <v>-8243846.3899999997</v>
      </c>
      <c r="T5" s="14">
        <v>27703308.739999998</v>
      </c>
      <c r="U5" s="14">
        <v>-140854.10999999999</v>
      </c>
      <c r="V5" s="14">
        <v>-297100235.69</v>
      </c>
      <c r="W5" s="14">
        <v>2998527500.3600001</v>
      </c>
    </row>
    <row r="6" spans="1:23" s="7" customFormat="1" ht="10.5">
      <c r="A6" s="12" t="s">
        <v>109</v>
      </c>
      <c r="B6" s="13" t="s">
        <v>167</v>
      </c>
      <c r="C6" s="14">
        <v>10375343634.85</v>
      </c>
      <c r="D6" s="30">
        <v>0</v>
      </c>
      <c r="E6" s="30">
        <v>0</v>
      </c>
      <c r="F6" s="30">
        <v>0</v>
      </c>
      <c r="G6" s="30">
        <v>0</v>
      </c>
      <c r="H6" s="14">
        <v>8167087.9199999999</v>
      </c>
      <c r="I6" s="14">
        <v>0</v>
      </c>
      <c r="J6" s="30">
        <v>0</v>
      </c>
      <c r="K6" s="14">
        <v>0</v>
      </c>
      <c r="L6" s="30">
        <v>119183638.37</v>
      </c>
      <c r="M6" s="30">
        <v>0</v>
      </c>
      <c r="N6" s="14">
        <v>0</v>
      </c>
      <c r="O6" s="30">
        <v>0</v>
      </c>
      <c r="P6" s="30">
        <v>0</v>
      </c>
      <c r="Q6" s="30">
        <v>0</v>
      </c>
      <c r="R6" s="30">
        <v>0</v>
      </c>
      <c r="S6" s="30">
        <v>0</v>
      </c>
      <c r="T6" s="30">
        <v>27703308.739999998</v>
      </c>
      <c r="U6" s="14">
        <v>0</v>
      </c>
      <c r="V6" s="30">
        <v>-297100235.69</v>
      </c>
      <c r="W6" s="30">
        <v>10683852306.74</v>
      </c>
    </row>
    <row r="7" spans="1:23" s="7" customFormat="1" ht="10.5">
      <c r="A7" s="12" t="s">
        <v>120</v>
      </c>
      <c r="B7" s="13" t="s">
        <v>168</v>
      </c>
      <c r="C7" s="30">
        <v>0</v>
      </c>
      <c r="D7" s="14">
        <v>78127272.959999993</v>
      </c>
      <c r="E7" s="14">
        <v>81680080.680000007</v>
      </c>
      <c r="F7" s="14">
        <v>88721496.519999996</v>
      </c>
      <c r="G7" s="14">
        <v>51013343.659999996</v>
      </c>
      <c r="H7" s="30">
        <v>0</v>
      </c>
      <c r="I7" s="30">
        <v>75117104.079999998</v>
      </c>
      <c r="J7" s="14">
        <v>78535228.689999998</v>
      </c>
      <c r="K7" s="30">
        <v>30371034.030000001</v>
      </c>
      <c r="L7" s="14">
        <v>0</v>
      </c>
      <c r="M7" s="14">
        <v>67335580.390000001</v>
      </c>
      <c r="N7" s="30">
        <v>59417116.090000004</v>
      </c>
      <c r="O7" s="14">
        <v>30928984.23</v>
      </c>
      <c r="P7" s="14">
        <v>61459381.590000004</v>
      </c>
      <c r="Q7" s="14">
        <v>37585757.640000001</v>
      </c>
      <c r="R7" s="14">
        <v>44520179.710000001</v>
      </c>
      <c r="S7" s="14">
        <v>8243846.3899999997</v>
      </c>
      <c r="T7" s="14">
        <v>0</v>
      </c>
      <c r="U7" s="30">
        <v>140854.10999999999</v>
      </c>
      <c r="V7" s="14">
        <v>0</v>
      </c>
      <c r="W7" s="14">
        <v>7685324806.3800001</v>
      </c>
    </row>
    <row r="8" spans="1:23" s="7" customFormat="1" ht="10.5">
      <c r="A8" s="12" t="s">
        <v>124</v>
      </c>
      <c r="B8" s="13" t="s">
        <v>169</v>
      </c>
      <c r="C8" s="30">
        <v>0</v>
      </c>
      <c r="D8" s="30">
        <v>0</v>
      </c>
      <c r="E8" s="14">
        <v>0</v>
      </c>
      <c r="F8" s="30">
        <v>0</v>
      </c>
      <c r="G8" s="30">
        <v>0</v>
      </c>
      <c r="H8" s="30">
        <v>0</v>
      </c>
      <c r="I8" s="30">
        <v>0</v>
      </c>
      <c r="J8" s="30">
        <v>0</v>
      </c>
      <c r="K8" s="30">
        <v>0</v>
      </c>
      <c r="L8" s="30">
        <v>0</v>
      </c>
      <c r="M8" s="30">
        <v>0</v>
      </c>
      <c r="N8" s="30">
        <v>0</v>
      </c>
      <c r="O8" s="30">
        <v>0</v>
      </c>
      <c r="P8" s="30">
        <v>0</v>
      </c>
      <c r="Q8" s="30">
        <v>0</v>
      </c>
      <c r="R8" s="30">
        <v>0</v>
      </c>
      <c r="S8" s="30">
        <v>0</v>
      </c>
      <c r="T8" s="30">
        <v>0</v>
      </c>
      <c r="U8" s="30">
        <v>0</v>
      </c>
      <c r="V8" s="30">
        <v>0</v>
      </c>
      <c r="W8" s="30">
        <v>9295797.0700000003</v>
      </c>
    </row>
    <row r="9" spans="1:23" s="7" customFormat="1" ht="10.5">
      <c r="A9" s="12" t="s">
        <v>126</v>
      </c>
      <c r="B9" s="13" t="s">
        <v>170</v>
      </c>
      <c r="C9" s="30">
        <v>0</v>
      </c>
      <c r="D9" s="30">
        <v>0</v>
      </c>
      <c r="E9" s="30">
        <v>0</v>
      </c>
      <c r="F9" s="30">
        <v>0</v>
      </c>
      <c r="G9" s="30">
        <v>0</v>
      </c>
      <c r="H9" s="30">
        <v>0</v>
      </c>
      <c r="I9" s="30">
        <v>0</v>
      </c>
      <c r="J9" s="30">
        <v>0</v>
      </c>
      <c r="K9" s="30">
        <v>0</v>
      </c>
      <c r="L9" s="30">
        <v>0</v>
      </c>
      <c r="M9" s="30">
        <v>0</v>
      </c>
      <c r="N9" s="30">
        <v>0</v>
      </c>
      <c r="O9" s="30">
        <v>0</v>
      </c>
      <c r="P9" s="30">
        <v>0</v>
      </c>
      <c r="Q9" s="30">
        <v>0</v>
      </c>
      <c r="R9" s="30">
        <v>0</v>
      </c>
      <c r="S9" s="30">
        <v>0</v>
      </c>
      <c r="T9" s="30">
        <v>0</v>
      </c>
      <c r="U9" s="30">
        <v>0</v>
      </c>
      <c r="V9" s="30">
        <v>0</v>
      </c>
      <c r="W9" s="30">
        <v>0</v>
      </c>
    </row>
    <row r="10" spans="1:23" s="7" customFormat="1" ht="10.5">
      <c r="A10" s="12" t="s">
        <v>131</v>
      </c>
      <c r="B10" s="13" t="s">
        <v>171</v>
      </c>
      <c r="C10" s="30">
        <v>0</v>
      </c>
      <c r="D10" s="30">
        <v>0</v>
      </c>
      <c r="E10" s="30">
        <v>0</v>
      </c>
      <c r="F10" s="30">
        <v>0</v>
      </c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0">
        <v>0</v>
      </c>
      <c r="O10" s="30">
        <v>0</v>
      </c>
      <c r="P10" s="30">
        <v>0</v>
      </c>
      <c r="Q10" s="30">
        <v>0</v>
      </c>
      <c r="R10" s="30">
        <v>0</v>
      </c>
      <c r="S10" s="30">
        <v>0</v>
      </c>
      <c r="T10" s="30">
        <v>0</v>
      </c>
      <c r="U10" s="30">
        <v>0</v>
      </c>
      <c r="V10" s="30">
        <v>0</v>
      </c>
      <c r="W10" s="30">
        <v>0</v>
      </c>
    </row>
    <row r="11" spans="1:23" s="11" customFormat="1" ht="10.5">
      <c r="A11" s="8" t="s">
        <v>135</v>
      </c>
      <c r="B11" s="9" t="s">
        <v>172</v>
      </c>
      <c r="C11" s="29">
        <v>0</v>
      </c>
      <c r="D11" s="29">
        <v>0</v>
      </c>
      <c r="E11" s="29">
        <v>0</v>
      </c>
      <c r="F11" s="29">
        <v>0</v>
      </c>
      <c r="G11" s="29">
        <v>0</v>
      </c>
      <c r="H11" s="29">
        <v>0</v>
      </c>
      <c r="I11" s="29">
        <v>0</v>
      </c>
      <c r="J11" s="29">
        <v>0</v>
      </c>
      <c r="K11" s="29">
        <v>0</v>
      </c>
      <c r="L11" s="29">
        <v>0</v>
      </c>
      <c r="M11" s="29">
        <v>0</v>
      </c>
      <c r="N11" s="29">
        <v>0</v>
      </c>
      <c r="O11" s="29">
        <v>0</v>
      </c>
      <c r="P11" s="29">
        <v>0</v>
      </c>
      <c r="Q11" s="29">
        <v>0</v>
      </c>
      <c r="R11" s="29">
        <v>0</v>
      </c>
      <c r="S11" s="29">
        <v>0</v>
      </c>
      <c r="T11" s="29">
        <v>0</v>
      </c>
      <c r="U11" s="29">
        <v>0</v>
      </c>
      <c r="V11" s="29">
        <v>0</v>
      </c>
      <c r="W11" s="29">
        <v>7170034.2699999996</v>
      </c>
    </row>
    <row r="12" spans="1:23" s="11" customFormat="1" ht="10.5">
      <c r="A12" s="8" t="s">
        <v>173</v>
      </c>
      <c r="B12" s="9" t="s">
        <v>174</v>
      </c>
      <c r="C12" s="10">
        <v>5428672198.3100004</v>
      </c>
      <c r="D12" s="10">
        <v>28365119.579999998</v>
      </c>
      <c r="E12" s="10">
        <v>67842479.019999996</v>
      </c>
      <c r="F12" s="10">
        <v>61932128.859999999</v>
      </c>
      <c r="G12" s="10">
        <v>280763807.79000002</v>
      </c>
      <c r="H12" s="10">
        <v>165352506.06</v>
      </c>
      <c r="I12" s="10">
        <v>42936225.270000003</v>
      </c>
      <c r="J12" s="10">
        <v>59274722.329999998</v>
      </c>
      <c r="K12" s="10">
        <v>9676757.6300000008</v>
      </c>
      <c r="L12" s="10">
        <v>94245806.590000004</v>
      </c>
      <c r="M12" s="10">
        <v>38427284.149999999</v>
      </c>
      <c r="N12" s="10">
        <v>18092153.379999999</v>
      </c>
      <c r="O12" s="10">
        <v>158025175.69</v>
      </c>
      <c r="P12" s="10">
        <v>19076832.690000001</v>
      </c>
      <c r="Q12" s="10">
        <v>3979734</v>
      </c>
      <c r="R12" s="10">
        <v>43723329.649999999</v>
      </c>
      <c r="S12" s="10">
        <v>31828670.25</v>
      </c>
      <c r="T12" s="10">
        <v>246887697.25999999</v>
      </c>
      <c r="U12" s="10">
        <v>15406591.310000001</v>
      </c>
      <c r="V12" s="10">
        <v>-261038871.88</v>
      </c>
      <c r="W12" s="10">
        <v>7532462491.4099998</v>
      </c>
    </row>
    <row r="13" spans="1:23" s="7" customFormat="1" ht="10.5">
      <c r="A13" s="12" t="s">
        <v>105</v>
      </c>
      <c r="B13" s="13" t="s">
        <v>175</v>
      </c>
      <c r="C13" s="14">
        <v>119810.5</v>
      </c>
      <c r="D13" s="30">
        <v>0</v>
      </c>
      <c r="E13" s="30">
        <v>0</v>
      </c>
      <c r="F13" s="30">
        <v>0</v>
      </c>
      <c r="G13" s="30">
        <v>56764.5</v>
      </c>
      <c r="H13" s="30">
        <v>0</v>
      </c>
      <c r="I13" s="14">
        <v>0</v>
      </c>
      <c r="J13" s="30">
        <v>0</v>
      </c>
      <c r="K13" s="30">
        <v>0</v>
      </c>
      <c r="L13" s="30">
        <v>0</v>
      </c>
      <c r="M13" s="14">
        <v>0</v>
      </c>
      <c r="N13" s="30">
        <v>6167.2</v>
      </c>
      <c r="O13" s="30">
        <v>0</v>
      </c>
      <c r="P13" s="14">
        <v>0</v>
      </c>
      <c r="Q13" s="30">
        <v>147301.25</v>
      </c>
      <c r="R13" s="30">
        <v>0</v>
      </c>
      <c r="S13" s="30">
        <v>0</v>
      </c>
      <c r="T13" s="30">
        <v>0</v>
      </c>
      <c r="U13" s="30">
        <v>41897.5</v>
      </c>
      <c r="V13" s="30">
        <v>-770947.05</v>
      </c>
      <c r="W13" s="30">
        <v>163051.20000000001</v>
      </c>
    </row>
    <row r="14" spans="1:23" s="7" customFormat="1" ht="10.5">
      <c r="A14" s="12" t="s">
        <v>107</v>
      </c>
      <c r="B14" s="13" t="s">
        <v>176</v>
      </c>
      <c r="C14" s="14">
        <v>214518102.44</v>
      </c>
      <c r="D14" s="14">
        <v>16704042.960000001</v>
      </c>
      <c r="E14" s="14">
        <v>25995103.600000001</v>
      </c>
      <c r="F14" s="14">
        <v>21065703.969999999</v>
      </c>
      <c r="G14" s="14">
        <v>43259424.759999998</v>
      </c>
      <c r="H14" s="14">
        <v>34176684.030000001</v>
      </c>
      <c r="I14" s="14">
        <v>27109108.809999999</v>
      </c>
      <c r="J14" s="14">
        <v>20842611.5</v>
      </c>
      <c r="K14" s="14">
        <v>8492767.3000000007</v>
      </c>
      <c r="L14" s="14">
        <v>42141306.5</v>
      </c>
      <c r="M14" s="14">
        <v>28348541.949999999</v>
      </c>
      <c r="N14" s="14">
        <v>16326402.68</v>
      </c>
      <c r="O14" s="14">
        <v>27239974.149999999</v>
      </c>
      <c r="P14" s="14">
        <v>16703862.039999999</v>
      </c>
      <c r="Q14" s="14">
        <v>3722750.03</v>
      </c>
      <c r="R14" s="14">
        <v>30171183.57</v>
      </c>
      <c r="S14" s="14">
        <v>9087556.6099999994</v>
      </c>
      <c r="T14" s="14">
        <v>61302030.109999999</v>
      </c>
      <c r="U14" s="14">
        <v>10945774.85</v>
      </c>
      <c r="V14" s="14">
        <v>-260267924.83000001</v>
      </c>
      <c r="W14" s="14">
        <v>1126781615.3099999</v>
      </c>
    </row>
    <row r="15" spans="1:23" s="7" customFormat="1" ht="10.5">
      <c r="A15" s="12" t="s">
        <v>109</v>
      </c>
      <c r="B15" s="13" t="s">
        <v>177</v>
      </c>
      <c r="C15" s="14">
        <v>50038186.609999999</v>
      </c>
      <c r="D15" s="30">
        <v>585925.6</v>
      </c>
      <c r="E15" s="14">
        <v>612179.31000000006</v>
      </c>
      <c r="F15" s="14">
        <v>394876.27</v>
      </c>
      <c r="G15" s="14">
        <v>1832458.23</v>
      </c>
      <c r="H15" s="14">
        <v>1327269.54</v>
      </c>
      <c r="I15" s="14">
        <v>347082.92</v>
      </c>
      <c r="J15" s="14">
        <v>237249.36</v>
      </c>
      <c r="K15" s="14">
        <v>47787.41</v>
      </c>
      <c r="L15" s="14">
        <v>478591.48</v>
      </c>
      <c r="M15" s="14">
        <v>293852.32</v>
      </c>
      <c r="N15" s="14">
        <v>332907.88</v>
      </c>
      <c r="O15" s="14">
        <v>960543.79</v>
      </c>
      <c r="P15" s="14">
        <v>651914.18000000005</v>
      </c>
      <c r="Q15" s="14">
        <v>164899.41</v>
      </c>
      <c r="R15" s="14">
        <v>20151999.52</v>
      </c>
      <c r="S15" s="14">
        <v>31056.55</v>
      </c>
      <c r="T15" s="14">
        <v>327795.02</v>
      </c>
      <c r="U15" s="14">
        <v>56198.98</v>
      </c>
      <c r="V15" s="14">
        <v>-4454619.26</v>
      </c>
      <c r="W15" s="14">
        <v>236131188.25999999</v>
      </c>
    </row>
    <row r="16" spans="1:23" s="7" customFormat="1" ht="10.5">
      <c r="A16" s="12" t="s">
        <v>120</v>
      </c>
      <c r="B16" s="13" t="s">
        <v>178</v>
      </c>
      <c r="C16" s="14">
        <v>9899681.5299999993</v>
      </c>
      <c r="D16" s="14">
        <v>138061</v>
      </c>
      <c r="E16" s="14">
        <v>137220</v>
      </c>
      <c r="F16" s="14">
        <v>119490.06</v>
      </c>
      <c r="G16" s="14">
        <v>222502</v>
      </c>
      <c r="H16" s="14">
        <v>96853</v>
      </c>
      <c r="I16" s="14">
        <v>135145</v>
      </c>
      <c r="J16" s="14">
        <v>97126</v>
      </c>
      <c r="K16" s="14">
        <v>65278.54</v>
      </c>
      <c r="L16" s="14">
        <v>143244</v>
      </c>
      <c r="M16" s="14">
        <v>120554.8</v>
      </c>
      <c r="N16" s="14">
        <v>83554</v>
      </c>
      <c r="O16" s="14">
        <v>134407</v>
      </c>
      <c r="P16" s="14">
        <v>97872</v>
      </c>
      <c r="Q16" s="14">
        <v>47229.279999999999</v>
      </c>
      <c r="R16" s="14">
        <v>57165</v>
      </c>
      <c r="S16" s="14">
        <v>75325</v>
      </c>
      <c r="T16" s="14">
        <v>148976.26</v>
      </c>
      <c r="U16" s="14">
        <v>77467</v>
      </c>
      <c r="V16" s="14">
        <v>-2297282.9</v>
      </c>
      <c r="W16" s="14">
        <v>58363375.240000002</v>
      </c>
    </row>
    <row r="17" spans="1:23" s="7" customFormat="1" ht="21">
      <c r="A17" s="12" t="s">
        <v>122</v>
      </c>
      <c r="B17" s="13" t="s">
        <v>179</v>
      </c>
      <c r="C17" s="14">
        <v>16264393.26</v>
      </c>
      <c r="D17" s="14">
        <v>713104.27</v>
      </c>
      <c r="E17" s="14">
        <v>700200.66</v>
      </c>
      <c r="F17" s="14">
        <v>616187.43999999994</v>
      </c>
      <c r="G17" s="14">
        <v>1144382.8700000001</v>
      </c>
      <c r="H17" s="14">
        <v>491694.11</v>
      </c>
      <c r="I17" s="14">
        <v>703174.23</v>
      </c>
      <c r="J17" s="14">
        <v>499483.03</v>
      </c>
      <c r="K17" s="14">
        <v>308892.09000000003</v>
      </c>
      <c r="L17" s="14">
        <v>737282.14</v>
      </c>
      <c r="M17" s="14">
        <v>623551</v>
      </c>
      <c r="N17" s="14">
        <v>422597.74</v>
      </c>
      <c r="O17" s="14">
        <v>687648.28</v>
      </c>
      <c r="P17" s="14">
        <v>504121.96</v>
      </c>
      <c r="Q17" s="14">
        <v>240823.87</v>
      </c>
      <c r="R17" s="14">
        <v>296582.5</v>
      </c>
      <c r="S17" s="14">
        <v>384430.67</v>
      </c>
      <c r="T17" s="14">
        <v>773066.27</v>
      </c>
      <c r="U17" s="14">
        <v>399793.61</v>
      </c>
      <c r="V17" s="14">
        <v>0</v>
      </c>
      <c r="W17" s="14">
        <v>146615440.66999999</v>
      </c>
    </row>
    <row r="18" spans="1:23" s="7" customFormat="1" ht="10.5">
      <c r="A18" s="12" t="s">
        <v>141</v>
      </c>
      <c r="B18" s="13" t="s">
        <v>180</v>
      </c>
      <c r="C18" s="14">
        <v>17524292.420000002</v>
      </c>
      <c r="D18" s="14">
        <v>1248219.67</v>
      </c>
      <c r="E18" s="14">
        <v>1231949.83</v>
      </c>
      <c r="F18" s="14">
        <v>1081952.3799999999</v>
      </c>
      <c r="G18" s="14">
        <v>2069627.28</v>
      </c>
      <c r="H18" s="14">
        <v>903670.46</v>
      </c>
      <c r="I18" s="14">
        <v>1300681.04</v>
      </c>
      <c r="J18" s="14">
        <v>961312.03</v>
      </c>
      <c r="K18" s="14">
        <v>541555.56999999995</v>
      </c>
      <c r="L18" s="14">
        <v>1288739.75</v>
      </c>
      <c r="M18" s="14">
        <v>1075925.83</v>
      </c>
      <c r="N18" s="14">
        <v>753386.71</v>
      </c>
      <c r="O18" s="14">
        <v>1208431.1599999999</v>
      </c>
      <c r="P18" s="14">
        <v>883420.56</v>
      </c>
      <c r="Q18" s="14">
        <v>464724.56</v>
      </c>
      <c r="R18" s="14">
        <v>520737.4</v>
      </c>
      <c r="S18" s="14">
        <v>674417.59</v>
      </c>
      <c r="T18" s="14">
        <v>1346900.21</v>
      </c>
      <c r="U18" s="14">
        <v>704230.29</v>
      </c>
      <c r="V18" s="14">
        <v>0</v>
      </c>
      <c r="W18" s="14">
        <v>201694850.78999999</v>
      </c>
    </row>
    <row r="19" spans="1:23" s="7" customFormat="1" ht="10.5">
      <c r="A19" s="12" t="s">
        <v>148</v>
      </c>
      <c r="B19" s="13" t="s">
        <v>181</v>
      </c>
      <c r="C19" s="14">
        <v>111578370.14</v>
      </c>
      <c r="D19" s="30">
        <v>10140294.529999999</v>
      </c>
      <c r="E19" s="14">
        <v>11873772.68</v>
      </c>
      <c r="F19" s="14">
        <v>15649561.48</v>
      </c>
      <c r="G19" s="14">
        <v>31185133.07</v>
      </c>
      <c r="H19" s="14">
        <v>27391394.27</v>
      </c>
      <c r="I19" s="14">
        <v>19602979.390000001</v>
      </c>
      <c r="J19" s="14">
        <v>17868517.530000001</v>
      </c>
      <c r="K19" s="14">
        <v>6646703.0199999996</v>
      </c>
      <c r="L19" s="14">
        <v>36602037.140000001</v>
      </c>
      <c r="M19" s="14">
        <v>16819853.199999999</v>
      </c>
      <c r="N19" s="14">
        <v>5401972.5199999996</v>
      </c>
      <c r="O19" s="14">
        <v>15156424.5</v>
      </c>
      <c r="P19" s="14">
        <v>12129823.75</v>
      </c>
      <c r="Q19" s="14">
        <v>2462615.56</v>
      </c>
      <c r="R19" s="14">
        <v>3293187.05</v>
      </c>
      <c r="S19" s="14">
        <v>6591742.2000000002</v>
      </c>
      <c r="T19" s="14">
        <v>56001559.75</v>
      </c>
      <c r="U19" s="14">
        <v>8475897.1999999993</v>
      </c>
      <c r="V19" s="14">
        <v>-253300587.56999999</v>
      </c>
      <c r="W19" s="14">
        <v>219813810.5</v>
      </c>
    </row>
    <row r="20" spans="1:23" s="7" customFormat="1" ht="21">
      <c r="A20" s="12" t="s">
        <v>156</v>
      </c>
      <c r="B20" s="13" t="s">
        <v>182</v>
      </c>
      <c r="C20" s="14">
        <v>8759246.0999999996</v>
      </c>
      <c r="D20" s="30">
        <v>3872763.09</v>
      </c>
      <c r="E20" s="14">
        <v>11439781.119999999</v>
      </c>
      <c r="F20" s="14">
        <v>3203636.34</v>
      </c>
      <c r="G20" s="14">
        <v>6747484.7699999996</v>
      </c>
      <c r="H20" s="14">
        <v>3855334.64</v>
      </c>
      <c r="I20" s="14">
        <v>5019351.63</v>
      </c>
      <c r="J20" s="14">
        <v>1178852.42</v>
      </c>
      <c r="K20" s="14">
        <v>882550.67</v>
      </c>
      <c r="L20" s="14">
        <v>2726577.8</v>
      </c>
      <c r="M20" s="14">
        <v>9407604.2599999998</v>
      </c>
      <c r="N20" s="14">
        <v>9240400.1400000006</v>
      </c>
      <c r="O20" s="14">
        <v>9092519.4199999999</v>
      </c>
      <c r="P20" s="14">
        <v>2436709.59</v>
      </c>
      <c r="Q20" s="14">
        <v>341544.12</v>
      </c>
      <c r="R20" s="14">
        <v>5847268.5</v>
      </c>
      <c r="S20" s="14">
        <v>1330584.6000000001</v>
      </c>
      <c r="T20" s="14">
        <v>2700071.1</v>
      </c>
      <c r="U20" s="14">
        <v>1232187.77</v>
      </c>
      <c r="V20" s="14">
        <v>-215435.1</v>
      </c>
      <c r="W20" s="14">
        <v>252870572.47999999</v>
      </c>
    </row>
    <row r="21" spans="1:23" s="7" customFormat="1" ht="21">
      <c r="A21" s="12" t="s">
        <v>157</v>
      </c>
      <c r="B21" s="13" t="s">
        <v>183</v>
      </c>
      <c r="C21" s="14">
        <v>453932.38</v>
      </c>
      <c r="D21" s="14">
        <v>5674.8</v>
      </c>
      <c r="E21" s="14">
        <v>0</v>
      </c>
      <c r="F21" s="14">
        <v>0</v>
      </c>
      <c r="G21" s="14">
        <v>57836.54</v>
      </c>
      <c r="H21" s="14">
        <v>110468.01</v>
      </c>
      <c r="I21" s="14">
        <v>694.6</v>
      </c>
      <c r="J21" s="14">
        <v>71.13</v>
      </c>
      <c r="K21" s="14">
        <v>0</v>
      </c>
      <c r="L21" s="14">
        <v>164834.19</v>
      </c>
      <c r="M21" s="14">
        <v>7200.54</v>
      </c>
      <c r="N21" s="14">
        <v>91583.69</v>
      </c>
      <c r="O21" s="14">
        <v>0</v>
      </c>
      <c r="P21" s="14">
        <v>0</v>
      </c>
      <c r="Q21" s="14">
        <v>913.23</v>
      </c>
      <c r="R21" s="14">
        <v>4243.6000000000004</v>
      </c>
      <c r="S21" s="14">
        <v>0</v>
      </c>
      <c r="T21" s="14">
        <v>3661.5</v>
      </c>
      <c r="U21" s="14">
        <v>0</v>
      </c>
      <c r="V21" s="14">
        <v>0</v>
      </c>
      <c r="W21" s="14">
        <v>11292377.369999999</v>
      </c>
    </row>
    <row r="22" spans="1:23" s="7" customFormat="1" ht="10.5">
      <c r="A22" s="12" t="s">
        <v>124</v>
      </c>
      <c r="B22" s="13" t="s">
        <v>184</v>
      </c>
      <c r="C22" s="14">
        <v>5214034285.3699999</v>
      </c>
      <c r="D22" s="30">
        <v>11661076.619999999</v>
      </c>
      <c r="E22" s="14">
        <v>41847375.420000002</v>
      </c>
      <c r="F22" s="14">
        <v>40866424.890000001</v>
      </c>
      <c r="G22" s="14">
        <v>237447618.53</v>
      </c>
      <c r="H22" s="14">
        <v>131175822.03</v>
      </c>
      <c r="I22" s="14">
        <v>15827116.460000001</v>
      </c>
      <c r="J22" s="14">
        <v>38432110.829999998</v>
      </c>
      <c r="K22" s="14">
        <v>1183990.33</v>
      </c>
      <c r="L22" s="14">
        <v>52104500.090000004</v>
      </c>
      <c r="M22" s="14">
        <v>10078742.199999999</v>
      </c>
      <c r="N22" s="14">
        <v>1759583.5</v>
      </c>
      <c r="O22" s="14">
        <v>130785201.54000001</v>
      </c>
      <c r="P22" s="14">
        <v>2372970.65</v>
      </c>
      <c r="Q22" s="14">
        <v>109682.72</v>
      </c>
      <c r="R22" s="14">
        <v>13552146.08</v>
      </c>
      <c r="S22" s="14">
        <v>22741113.640000001</v>
      </c>
      <c r="T22" s="14">
        <v>185585667.15000001</v>
      </c>
      <c r="U22" s="14">
        <v>4418918.96</v>
      </c>
      <c r="V22" s="14">
        <v>0</v>
      </c>
      <c r="W22" s="14">
        <v>6405517824.8999996</v>
      </c>
    </row>
    <row r="23" spans="1:23" s="11" customFormat="1" ht="10.5">
      <c r="A23" s="8" t="s">
        <v>185</v>
      </c>
      <c r="B23" s="9" t="s">
        <v>186</v>
      </c>
      <c r="C23" s="10">
        <v>7121447.96</v>
      </c>
      <c r="D23" s="10">
        <v>0</v>
      </c>
      <c r="E23" s="10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  <c r="P23" s="10">
        <v>0</v>
      </c>
      <c r="Q23" s="29">
        <v>0</v>
      </c>
      <c r="R23" s="29">
        <v>0</v>
      </c>
      <c r="S23" s="29">
        <v>0</v>
      </c>
      <c r="T23" s="29">
        <v>0</v>
      </c>
      <c r="U23" s="29">
        <v>0</v>
      </c>
      <c r="V23" s="10">
        <v>0</v>
      </c>
      <c r="W23" s="10">
        <v>112294222.36</v>
      </c>
    </row>
    <row r="24" spans="1:23" s="7" customFormat="1" ht="10.5">
      <c r="A24" s="12" t="s">
        <v>109</v>
      </c>
      <c r="B24" s="13" t="s">
        <v>187</v>
      </c>
      <c r="C24" s="14">
        <v>7121447.96</v>
      </c>
      <c r="D24" s="14">
        <v>0</v>
      </c>
      <c r="E24" s="14">
        <v>0</v>
      </c>
      <c r="F24" s="30">
        <v>0</v>
      </c>
      <c r="G24" s="30">
        <v>0</v>
      </c>
      <c r="H24" s="30">
        <v>0</v>
      </c>
      <c r="I24" s="30">
        <v>0</v>
      </c>
      <c r="J24" s="30">
        <v>0</v>
      </c>
      <c r="K24" s="30">
        <v>0</v>
      </c>
      <c r="L24" s="30">
        <v>0</v>
      </c>
      <c r="M24" s="30">
        <v>0</v>
      </c>
      <c r="N24" s="30">
        <v>0</v>
      </c>
      <c r="O24" s="30">
        <v>0</v>
      </c>
      <c r="P24" s="14">
        <v>0</v>
      </c>
      <c r="Q24" s="30">
        <v>0</v>
      </c>
      <c r="R24" s="30">
        <v>0</v>
      </c>
      <c r="S24" s="30">
        <v>0</v>
      </c>
      <c r="T24" s="30">
        <v>0</v>
      </c>
      <c r="U24" s="30">
        <v>0</v>
      </c>
      <c r="V24" s="14">
        <v>0</v>
      </c>
      <c r="W24" s="14">
        <v>110277862.09</v>
      </c>
    </row>
    <row r="25" spans="1:23" s="7" customFormat="1" ht="10.5">
      <c r="A25" s="12" t="s">
        <v>120</v>
      </c>
      <c r="B25" s="13" t="s">
        <v>188</v>
      </c>
      <c r="C25" s="30">
        <v>0</v>
      </c>
      <c r="D25" s="30">
        <v>0</v>
      </c>
      <c r="E25" s="30">
        <v>0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30">
        <v>0</v>
      </c>
      <c r="P25" s="30">
        <v>0</v>
      </c>
      <c r="Q25" s="30">
        <v>0</v>
      </c>
      <c r="R25" s="30">
        <v>0</v>
      </c>
      <c r="S25" s="30">
        <v>0</v>
      </c>
      <c r="T25" s="30">
        <v>0</v>
      </c>
      <c r="U25" s="30">
        <v>0</v>
      </c>
      <c r="V25" s="30">
        <v>0</v>
      </c>
      <c r="W25" s="30">
        <v>2016360.27</v>
      </c>
    </row>
    <row r="26" spans="1:23" s="11" customFormat="1" ht="10.5">
      <c r="A26" s="8" t="s">
        <v>189</v>
      </c>
      <c r="B26" s="9" t="s">
        <v>190</v>
      </c>
      <c r="C26" s="10">
        <v>0</v>
      </c>
      <c r="D26" s="29">
        <v>2304618.0499999998</v>
      </c>
      <c r="E26" s="10">
        <v>11990693.609999999</v>
      </c>
      <c r="F26" s="10">
        <v>3726578.64</v>
      </c>
      <c r="G26" s="10">
        <v>5846052.8499999996</v>
      </c>
      <c r="H26" s="10">
        <v>33309530.18</v>
      </c>
      <c r="I26" s="10">
        <v>15508395.449999999</v>
      </c>
      <c r="J26" s="10">
        <v>4046658.09</v>
      </c>
      <c r="K26" s="10">
        <v>8410620.0099999998</v>
      </c>
      <c r="L26" s="10">
        <v>0</v>
      </c>
      <c r="M26" s="10">
        <v>3579156.31</v>
      </c>
      <c r="N26" s="29">
        <v>2988970.37</v>
      </c>
      <c r="O26" s="10">
        <v>11736926.16</v>
      </c>
      <c r="P26" s="10">
        <v>14247947.58</v>
      </c>
      <c r="Q26" s="10">
        <v>2619633.4700000002</v>
      </c>
      <c r="R26" s="10">
        <v>2525348.25</v>
      </c>
      <c r="S26" s="10">
        <v>5566782.8499999996</v>
      </c>
      <c r="T26" s="10">
        <v>7545154.9100000001</v>
      </c>
      <c r="U26" s="10">
        <v>4247729.59</v>
      </c>
      <c r="V26" s="10">
        <v>0</v>
      </c>
      <c r="W26" s="10">
        <v>276489225.18000001</v>
      </c>
    </row>
    <row r="27" spans="1:23" s="7" customFormat="1" ht="10.5">
      <c r="A27" s="12" t="s">
        <v>105</v>
      </c>
      <c r="B27" s="13" t="s">
        <v>191</v>
      </c>
      <c r="C27" s="30">
        <v>0</v>
      </c>
      <c r="D27" s="30">
        <v>2304618.0499999998</v>
      </c>
      <c r="E27" s="14">
        <v>11990693.609999999</v>
      </c>
      <c r="F27" s="14">
        <v>3726578.64</v>
      </c>
      <c r="G27" s="14">
        <v>5846052.8499999996</v>
      </c>
      <c r="H27" s="14">
        <v>33309530.18</v>
      </c>
      <c r="I27" s="14">
        <v>15508395.449999999</v>
      </c>
      <c r="J27" s="14">
        <v>4046658.09</v>
      </c>
      <c r="K27" s="14">
        <v>8410620.0099999998</v>
      </c>
      <c r="L27" s="14">
        <v>0</v>
      </c>
      <c r="M27" s="14">
        <v>3579156.31</v>
      </c>
      <c r="N27" s="30">
        <v>2988970.37</v>
      </c>
      <c r="O27" s="14">
        <v>11736926.16</v>
      </c>
      <c r="P27" s="14">
        <v>14247947.58</v>
      </c>
      <c r="Q27" s="14">
        <v>2619633.4700000002</v>
      </c>
      <c r="R27" s="14">
        <v>2525348.25</v>
      </c>
      <c r="S27" s="14">
        <v>5566782.8499999996</v>
      </c>
      <c r="T27" s="14">
        <v>7545154.9100000001</v>
      </c>
      <c r="U27" s="14">
        <v>4247729.59</v>
      </c>
      <c r="V27" s="14">
        <v>0</v>
      </c>
      <c r="W27" s="14">
        <v>275202139.48000002</v>
      </c>
    </row>
    <row r="28" spans="1:23" s="7" customFormat="1" ht="10.5">
      <c r="A28" s="12" t="s">
        <v>107</v>
      </c>
      <c r="B28" s="13" t="s">
        <v>192</v>
      </c>
      <c r="C28" s="14">
        <v>0</v>
      </c>
      <c r="D28" s="30">
        <v>0</v>
      </c>
      <c r="E28" s="30">
        <v>0</v>
      </c>
      <c r="F28" s="30">
        <v>0</v>
      </c>
      <c r="G28" s="30">
        <v>0</v>
      </c>
      <c r="H28" s="30">
        <v>0</v>
      </c>
      <c r="I28" s="14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v>0</v>
      </c>
      <c r="S28" s="30">
        <v>0</v>
      </c>
      <c r="T28" s="14">
        <v>0</v>
      </c>
      <c r="U28" s="30">
        <v>0</v>
      </c>
      <c r="V28" s="30">
        <v>0</v>
      </c>
      <c r="W28" s="30">
        <v>1287085.7</v>
      </c>
    </row>
    <row r="29" spans="1:23" s="11" customFormat="1" ht="10.5">
      <c r="A29" s="8"/>
      <c r="B29" s="9" t="s">
        <v>61</v>
      </c>
      <c r="C29" s="16">
        <v>12867500206.34</v>
      </c>
      <c r="D29" s="16">
        <v>3492649138.4099998</v>
      </c>
      <c r="E29" s="16">
        <v>2921286536.71</v>
      </c>
      <c r="F29" s="16">
        <v>3030780646.77</v>
      </c>
      <c r="G29" s="16">
        <v>22626194534.93</v>
      </c>
      <c r="H29" s="16">
        <v>5059867342.4799995</v>
      </c>
      <c r="I29" s="16">
        <v>6407772850.9499998</v>
      </c>
      <c r="J29" s="16">
        <v>618395272.65999997</v>
      </c>
      <c r="K29" s="16">
        <v>296316055.81999999</v>
      </c>
      <c r="L29" s="16">
        <v>8571980787.8699999</v>
      </c>
      <c r="M29" s="16">
        <v>2915293245.0700002</v>
      </c>
      <c r="N29" s="16">
        <v>863401012.42999995</v>
      </c>
      <c r="O29" s="16">
        <v>7357384672.7200003</v>
      </c>
      <c r="P29" s="16">
        <v>1102345427.6400001</v>
      </c>
      <c r="Q29" s="16">
        <v>648747018.20000005</v>
      </c>
      <c r="R29" s="16">
        <v>1541093043.54</v>
      </c>
      <c r="S29" s="16">
        <v>702609978.54999995</v>
      </c>
      <c r="T29" s="16">
        <v>11265374995.370001</v>
      </c>
      <c r="U29" s="16">
        <v>3252695297.5300002</v>
      </c>
      <c r="V29" s="16">
        <v>-389478055.48000002</v>
      </c>
      <c r="W29" s="16">
        <v>116376888174.47</v>
      </c>
    </row>
    <row r="31" spans="1:23"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</row>
    <row r="32" spans="1:23">
      <c r="B32" s="4" t="s">
        <v>193</v>
      </c>
      <c r="C32" s="17">
        <v>43591</v>
      </c>
    </row>
    <row r="33" spans="1:25" s="7" customFormat="1" ht="21">
      <c r="A33" s="6" t="s">
        <v>80</v>
      </c>
      <c r="B33" s="6" t="s">
        <v>4</v>
      </c>
      <c r="C33" s="6" t="s">
        <v>82</v>
      </c>
      <c r="D33" s="6" t="s">
        <v>83</v>
      </c>
      <c r="E33" s="6" t="s">
        <v>84</v>
      </c>
      <c r="F33" s="6" t="s">
        <v>85</v>
      </c>
      <c r="G33" s="6" t="s">
        <v>86</v>
      </c>
      <c r="H33" s="6" t="s">
        <v>87</v>
      </c>
      <c r="I33" s="6" t="s">
        <v>88</v>
      </c>
      <c r="J33" s="6" t="s">
        <v>89</v>
      </c>
      <c r="K33" s="6" t="s">
        <v>90</v>
      </c>
      <c r="L33" s="6" t="s">
        <v>91</v>
      </c>
      <c r="M33" s="6" t="s">
        <v>92</v>
      </c>
      <c r="N33" s="6" t="s">
        <v>93</v>
      </c>
      <c r="O33" s="6" t="s">
        <v>94</v>
      </c>
      <c r="P33" s="6" t="s">
        <v>95</v>
      </c>
      <c r="Q33" s="6" t="s">
        <v>96</v>
      </c>
      <c r="R33" s="6" t="s">
        <v>97</v>
      </c>
      <c r="S33" s="6" t="s">
        <v>98</v>
      </c>
      <c r="T33" s="6" t="s">
        <v>99</v>
      </c>
      <c r="U33" s="6" t="s">
        <v>100</v>
      </c>
      <c r="V33" s="6" t="s">
        <v>162</v>
      </c>
      <c r="W33" s="6" t="s">
        <v>102</v>
      </c>
    </row>
    <row r="34" spans="1:25" s="22" customFormat="1">
      <c r="A34" s="8"/>
      <c r="B34" s="1" t="s">
        <v>64</v>
      </c>
      <c r="C34" s="10">
        <v>7431706560.0699997</v>
      </c>
      <c r="D34" s="10">
        <v>3461979400.7800002</v>
      </c>
      <c r="E34" s="10">
        <v>2841453364.0799999</v>
      </c>
      <c r="F34" s="10">
        <v>2965121939.27</v>
      </c>
      <c r="G34" s="10">
        <v>22339584674.290001</v>
      </c>
      <c r="H34" s="10">
        <v>4861205306.2399998</v>
      </c>
      <c r="I34" s="10">
        <v>6349328230.2299995</v>
      </c>
      <c r="J34" s="10">
        <v>555073892.24000001</v>
      </c>
      <c r="K34" s="10">
        <v>278228678.18000001</v>
      </c>
      <c r="L34" s="10">
        <v>8477734981.2799997</v>
      </c>
      <c r="M34" s="10">
        <v>2873286804.6100001</v>
      </c>
      <c r="N34" s="10">
        <v>842319888.67999995</v>
      </c>
      <c r="O34" s="10">
        <v>7187622570.8699999</v>
      </c>
      <c r="P34" s="10">
        <v>1069020647.37</v>
      </c>
      <c r="Q34" s="10">
        <v>642147650.73000002</v>
      </c>
      <c r="R34" s="10">
        <v>1494844365.6400001</v>
      </c>
      <c r="S34" s="10">
        <v>665214525.45000005</v>
      </c>
      <c r="T34" s="10">
        <v>11010942143.200001</v>
      </c>
      <c r="U34" s="10">
        <v>3233040976.6300001</v>
      </c>
      <c r="V34" s="10">
        <f>V35+V36+V39+V40</f>
        <v>0</v>
      </c>
      <c r="W34" s="10">
        <f>W35+W36+W39+W40</f>
        <v>88579856599.839996</v>
      </c>
      <c r="X34" s="31">
        <f>W34-'Bilans 31.12.2018'!E8</f>
        <v>0</v>
      </c>
    </row>
    <row r="35" spans="1:25" s="22" customFormat="1">
      <c r="A35" s="8"/>
      <c r="B35" s="1" t="s">
        <v>7</v>
      </c>
      <c r="C35" s="10">
        <v>-2943637074.7800002</v>
      </c>
      <c r="D35" s="10">
        <v>3540106673.7399998</v>
      </c>
      <c r="E35" s="10">
        <v>2923133444.7600002</v>
      </c>
      <c r="F35" s="10">
        <v>3053843435.79</v>
      </c>
      <c r="G35" s="10">
        <v>22390598017.950001</v>
      </c>
      <c r="H35" s="10">
        <v>4853038218.3199997</v>
      </c>
      <c r="I35" s="10">
        <v>6424445334.3100004</v>
      </c>
      <c r="J35" s="10">
        <v>633609120.92999995</v>
      </c>
      <c r="K35" s="10">
        <v>308599712.20999998</v>
      </c>
      <c r="L35" s="10">
        <v>8358551342.9099998</v>
      </c>
      <c r="M35" s="10">
        <v>2940622385</v>
      </c>
      <c r="N35" s="10">
        <v>901737004.76999998</v>
      </c>
      <c r="O35" s="10">
        <v>7218551555.1000004</v>
      </c>
      <c r="P35" s="10">
        <v>1130480028.96</v>
      </c>
      <c r="Q35" s="10">
        <v>679733408.37</v>
      </c>
      <c r="R35" s="10">
        <v>1539364545.3499999</v>
      </c>
      <c r="S35" s="10">
        <v>673458371.84000003</v>
      </c>
      <c r="T35" s="10">
        <v>10983238834.459999</v>
      </c>
      <c r="U35" s="10">
        <v>3233181830.7399998</v>
      </c>
      <c r="V35" s="10"/>
      <c r="W35" s="10">
        <f>SUM(C35:V35)</f>
        <v>78842656190.729996</v>
      </c>
      <c r="X35" s="31">
        <f>W35-'Bilans 31.12.2018'!E9</f>
        <v>0</v>
      </c>
    </row>
    <row r="36" spans="1:25" s="22" customFormat="1">
      <c r="A36" s="8"/>
      <c r="B36" s="1" t="s">
        <v>65</v>
      </c>
      <c r="C36" s="10">
        <v>10375343634.85</v>
      </c>
      <c r="D36" s="10">
        <v>-78127272.959999993</v>
      </c>
      <c r="E36" s="10">
        <v>-81680080.680000007</v>
      </c>
      <c r="F36" s="10">
        <v>-88721496.519999996</v>
      </c>
      <c r="G36" s="10">
        <v>-51013343.659999996</v>
      </c>
      <c r="H36" s="10">
        <v>8167087.9199999999</v>
      </c>
      <c r="I36" s="10">
        <v>-75117104.079999998</v>
      </c>
      <c r="J36" s="10">
        <v>-78535228.689999998</v>
      </c>
      <c r="K36" s="10">
        <v>-30371034.030000001</v>
      </c>
      <c r="L36" s="10">
        <v>119183638.37</v>
      </c>
      <c r="M36" s="10">
        <v>-67335580.390000001</v>
      </c>
      <c r="N36" s="10">
        <v>-59417116.090000004</v>
      </c>
      <c r="O36" s="10">
        <v>-30928984.23</v>
      </c>
      <c r="P36" s="10">
        <v>-61459381.590000004</v>
      </c>
      <c r="Q36" s="10">
        <v>-37585757.640000001</v>
      </c>
      <c r="R36" s="10">
        <v>-44520179.710000001</v>
      </c>
      <c r="S36" s="10">
        <v>-8243846.3899999997</v>
      </c>
      <c r="T36" s="10">
        <v>27703308.739999998</v>
      </c>
      <c r="U36" s="10">
        <v>-140854.10999999999</v>
      </c>
      <c r="V36" s="10">
        <f>SUM(V37:V38)</f>
        <v>0</v>
      </c>
      <c r="W36" s="10">
        <f>SUM(W37:W38)</f>
        <v>9737200409.1100006</v>
      </c>
      <c r="X36" s="31">
        <f>W36-'Bilans 31.12.2018'!E10</f>
        <v>0</v>
      </c>
    </row>
    <row r="37" spans="1:25">
      <c r="A37" s="12"/>
      <c r="B37" s="2" t="s">
        <v>10</v>
      </c>
      <c r="C37" s="14">
        <v>10375343634.85</v>
      </c>
      <c r="D37" s="14">
        <v>0</v>
      </c>
      <c r="E37" s="14">
        <v>0</v>
      </c>
      <c r="F37" s="14">
        <v>0</v>
      </c>
      <c r="G37" s="14">
        <v>0</v>
      </c>
      <c r="H37" s="14">
        <v>8167087.9199999999</v>
      </c>
      <c r="I37" s="14">
        <v>0</v>
      </c>
      <c r="J37" s="14">
        <v>0</v>
      </c>
      <c r="K37" s="14">
        <v>0</v>
      </c>
      <c r="L37" s="14">
        <v>119183638.37</v>
      </c>
      <c r="M37" s="14">
        <v>0</v>
      </c>
      <c r="N37" s="14">
        <v>0</v>
      </c>
      <c r="O37" s="14">
        <v>0</v>
      </c>
      <c r="P37" s="14">
        <v>0</v>
      </c>
      <c r="Q37" s="14">
        <v>0</v>
      </c>
      <c r="R37" s="14">
        <v>0</v>
      </c>
      <c r="S37" s="14">
        <v>0</v>
      </c>
      <c r="T37" s="14">
        <v>27703308.739999998</v>
      </c>
      <c r="U37" s="14">
        <v>0</v>
      </c>
      <c r="V37" s="14"/>
      <c r="W37" s="14">
        <f t="shared" ref="W37:W42" si="0">SUM(C37:V37)</f>
        <v>10530397669.880001</v>
      </c>
      <c r="X37" s="34">
        <f>W37-'Bilans 31.12.2018'!E11</f>
        <v>793197260.77000237</v>
      </c>
    </row>
    <row r="38" spans="1:25">
      <c r="A38" s="12"/>
      <c r="B38" s="2" t="s">
        <v>12</v>
      </c>
      <c r="C38" s="14">
        <v>0</v>
      </c>
      <c r="D38" s="14">
        <v>-78127272.959999993</v>
      </c>
      <c r="E38" s="14">
        <v>-81680080.680000007</v>
      </c>
      <c r="F38" s="14">
        <v>-88721496.519999996</v>
      </c>
      <c r="G38" s="14">
        <v>-51013343.659999996</v>
      </c>
      <c r="H38" s="14">
        <v>0</v>
      </c>
      <c r="I38" s="14">
        <v>-75117104.079999998</v>
      </c>
      <c r="J38" s="14">
        <v>-78535228.689999998</v>
      </c>
      <c r="K38" s="14">
        <v>-30371034.030000001</v>
      </c>
      <c r="L38" s="14">
        <v>0</v>
      </c>
      <c r="M38" s="14">
        <v>-67335580.390000001</v>
      </c>
      <c r="N38" s="14">
        <v>-59417116.090000004</v>
      </c>
      <c r="O38" s="14">
        <v>-30928984.23</v>
      </c>
      <c r="P38" s="14">
        <v>-61459381.590000004</v>
      </c>
      <c r="Q38" s="14">
        <v>-37585757.640000001</v>
      </c>
      <c r="R38" s="14">
        <v>-44520179.710000001</v>
      </c>
      <c r="S38" s="14">
        <v>-8243846.3899999997</v>
      </c>
      <c r="T38" s="14">
        <v>0</v>
      </c>
      <c r="U38" s="14">
        <v>-140854.10999999999</v>
      </c>
      <c r="V38" s="14"/>
      <c r="W38" s="14">
        <f t="shared" si="0"/>
        <v>-793197260.76999998</v>
      </c>
      <c r="X38" s="34">
        <f>W38-'Bilans 31.12.2018'!E12</f>
        <v>-793197260.76999998</v>
      </c>
    </row>
    <row r="39" spans="1:25" s="22" customFormat="1" ht="29.25">
      <c r="A39" s="8"/>
      <c r="B39" s="1" t="s">
        <v>66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f t="shared" si="0"/>
        <v>0</v>
      </c>
      <c r="X39" s="31">
        <f>W39-'Bilans 31.12.2018'!E13</f>
        <v>0</v>
      </c>
    </row>
    <row r="40" spans="1:25" s="22" customFormat="1" ht="29.25">
      <c r="A40" s="8"/>
      <c r="B40" s="1" t="s">
        <v>15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  <c r="V40" s="10">
        <v>0</v>
      </c>
      <c r="W40" s="10">
        <f t="shared" si="0"/>
        <v>0</v>
      </c>
      <c r="X40" s="31">
        <f>W40-'Bilans 31.12.2018'!E14</f>
        <v>0</v>
      </c>
    </row>
    <row r="41" spans="1:25" s="22" customFormat="1">
      <c r="A41" s="8"/>
      <c r="B41" s="1" t="s">
        <v>17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0</v>
      </c>
      <c r="P41" s="10">
        <v>0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10">
        <v>0</v>
      </c>
      <c r="W41" s="10">
        <f t="shared" si="0"/>
        <v>0</v>
      </c>
      <c r="X41" s="31">
        <f>W41-'Bilans 31.12.2018'!E15</f>
        <v>0</v>
      </c>
    </row>
    <row r="42" spans="1:25" s="22" customFormat="1">
      <c r="A42" s="8"/>
      <c r="B42" s="1" t="s">
        <v>19</v>
      </c>
      <c r="C42" s="10">
        <v>0</v>
      </c>
      <c r="D42" s="10">
        <v>0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  <c r="W42" s="10">
        <f t="shared" si="0"/>
        <v>0</v>
      </c>
      <c r="X42" s="31">
        <f>W42-'Bilans 31.12.2018'!E16</f>
        <v>0</v>
      </c>
    </row>
    <row r="43" spans="1:25" s="22" customFormat="1" ht="29.25">
      <c r="A43" s="8"/>
      <c r="B43" s="1" t="s">
        <v>194</v>
      </c>
      <c r="C43" s="10">
        <v>5435793646.2700005</v>
      </c>
      <c r="D43" s="10">
        <v>30669737.629999999</v>
      </c>
      <c r="E43" s="10">
        <v>79833172.629999995</v>
      </c>
      <c r="F43" s="10">
        <v>65658707.5</v>
      </c>
      <c r="G43" s="10">
        <v>286609860.63999999</v>
      </c>
      <c r="H43" s="10">
        <v>198662036.24000001</v>
      </c>
      <c r="I43" s="10">
        <v>58444620.719999999</v>
      </c>
      <c r="J43" s="10">
        <v>63321380.420000002</v>
      </c>
      <c r="K43" s="10">
        <v>18087377.640000001</v>
      </c>
      <c r="L43" s="10">
        <v>94245806.590000004</v>
      </c>
      <c r="M43" s="10">
        <v>42006440.460000001</v>
      </c>
      <c r="N43" s="10">
        <v>21081123.75</v>
      </c>
      <c r="O43" s="10">
        <v>169762101.84999999</v>
      </c>
      <c r="P43" s="10">
        <v>33324780.27</v>
      </c>
      <c r="Q43" s="10">
        <v>6599367.4699999997</v>
      </c>
      <c r="R43" s="10">
        <v>46248677.899999999</v>
      </c>
      <c r="S43" s="10">
        <v>37395453.100000001</v>
      </c>
      <c r="T43" s="10">
        <v>254432852.16999999</v>
      </c>
      <c r="U43" s="10">
        <v>19654320.899999999</v>
      </c>
      <c r="V43" s="10">
        <f>V44+V45+V56+V57</f>
        <v>-166763255.91999999</v>
      </c>
      <c r="W43" s="10">
        <f>W44+W45+W56+W57</f>
        <v>6795068208.2299986</v>
      </c>
      <c r="X43" s="31">
        <f>W43-'Bilans 31.12.2018'!E17</f>
        <v>0</v>
      </c>
    </row>
    <row r="44" spans="1:25" s="22" customFormat="1">
      <c r="A44" s="8"/>
      <c r="B44" s="1" t="s">
        <v>195</v>
      </c>
      <c r="C44" s="10">
        <v>119810.5</v>
      </c>
      <c r="D44" s="10">
        <v>0</v>
      </c>
      <c r="E44" s="10">
        <v>0</v>
      </c>
      <c r="F44" s="10">
        <v>0</v>
      </c>
      <c r="G44" s="10">
        <v>56764.5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6167.2</v>
      </c>
      <c r="O44" s="10">
        <v>0</v>
      </c>
      <c r="P44" s="10">
        <v>0</v>
      </c>
      <c r="Q44" s="10">
        <v>147301.25</v>
      </c>
      <c r="R44" s="10">
        <v>0</v>
      </c>
      <c r="S44" s="10">
        <v>0</v>
      </c>
      <c r="T44" s="10">
        <v>0</v>
      </c>
      <c r="U44" s="10">
        <v>41897.5</v>
      </c>
      <c r="V44" s="10">
        <f>-'[1]Nal-Zob'!$F$55</f>
        <v>-62785</v>
      </c>
      <c r="W44" s="10">
        <f>SUM(C44:V44)</f>
        <v>309155.95</v>
      </c>
      <c r="X44" s="31">
        <f>W44-'Bilans 31.12.2018'!E18</f>
        <v>0</v>
      </c>
    </row>
    <row r="45" spans="1:25" s="22" customFormat="1">
      <c r="A45" s="8"/>
      <c r="B45" s="1" t="s">
        <v>69</v>
      </c>
      <c r="C45" s="10">
        <v>221639550.40000001</v>
      </c>
      <c r="D45" s="10">
        <v>16704042.960000001</v>
      </c>
      <c r="E45" s="10">
        <v>25995103.600000001</v>
      </c>
      <c r="F45" s="10">
        <v>21065703.969999999</v>
      </c>
      <c r="G45" s="10">
        <v>43259424.759999998</v>
      </c>
      <c r="H45" s="10">
        <v>34176684.030000001</v>
      </c>
      <c r="I45" s="10">
        <v>27109108.809999999</v>
      </c>
      <c r="J45" s="10">
        <v>20842611.5</v>
      </c>
      <c r="K45" s="10">
        <v>8492767.3000000007</v>
      </c>
      <c r="L45" s="10">
        <v>42141306.5</v>
      </c>
      <c r="M45" s="10">
        <v>28348541.949999999</v>
      </c>
      <c r="N45" s="10">
        <v>16326402.68</v>
      </c>
      <c r="O45" s="10">
        <v>27239974.149999999</v>
      </c>
      <c r="P45" s="10">
        <v>16703862.039999999</v>
      </c>
      <c r="Q45" s="10">
        <v>3722750.03</v>
      </c>
      <c r="R45" s="10">
        <v>30171183.57</v>
      </c>
      <c r="S45" s="10">
        <v>9087556.6099999994</v>
      </c>
      <c r="T45" s="10">
        <v>61302030.109999999</v>
      </c>
      <c r="U45" s="10">
        <v>10945774.85</v>
      </c>
      <c r="V45" s="10">
        <f>SUM(V46:V53)</f>
        <v>-166700470.91999999</v>
      </c>
      <c r="W45" s="10">
        <f>SUM(W46:W53)</f>
        <v>498573908.89999992</v>
      </c>
      <c r="X45" s="31">
        <f>W45-'Bilans 31.12.2018'!E19</f>
        <v>0</v>
      </c>
      <c r="Y45" s="32"/>
    </row>
    <row r="46" spans="1:25">
      <c r="A46" s="12"/>
      <c r="B46" s="2" t="s">
        <v>70</v>
      </c>
      <c r="C46" s="14">
        <v>50038186.609999999</v>
      </c>
      <c r="D46" s="14">
        <v>585925.6</v>
      </c>
      <c r="E46" s="14">
        <v>612179.31000000006</v>
      </c>
      <c r="F46" s="14">
        <v>394876.27</v>
      </c>
      <c r="G46" s="14">
        <v>1832458.23</v>
      </c>
      <c r="H46" s="14">
        <v>1327269.54</v>
      </c>
      <c r="I46" s="14">
        <v>347082.92</v>
      </c>
      <c r="J46" s="14">
        <v>237249.36</v>
      </c>
      <c r="K46" s="14">
        <v>47787.41</v>
      </c>
      <c r="L46" s="14">
        <v>478591.48</v>
      </c>
      <c r="M46" s="14">
        <v>293852.32</v>
      </c>
      <c r="N46" s="14">
        <v>332907.88</v>
      </c>
      <c r="O46" s="14">
        <v>960543.79</v>
      </c>
      <c r="P46" s="14">
        <v>651914.18000000005</v>
      </c>
      <c r="Q46" s="14">
        <v>164899.41</v>
      </c>
      <c r="R46" s="14">
        <v>20151999.52</v>
      </c>
      <c r="S46" s="14">
        <v>31056.55</v>
      </c>
      <c r="T46" s="14">
        <v>327795.02</v>
      </c>
      <c r="U46" s="14">
        <v>56198.98</v>
      </c>
      <c r="V46" s="14"/>
      <c r="W46" s="14">
        <f t="shared" ref="W46:W52" si="1">SUM(C46:V46)</f>
        <v>78872774.379999995</v>
      </c>
      <c r="X46" s="34">
        <f>W46-'Bilans 31.12.2018'!E20</f>
        <v>0</v>
      </c>
    </row>
    <row r="47" spans="1:25">
      <c r="A47" s="12"/>
      <c r="B47" s="2" t="s">
        <v>71</v>
      </c>
      <c r="C47" s="14">
        <v>9899681.5299999993</v>
      </c>
      <c r="D47" s="14">
        <v>138061</v>
      </c>
      <c r="E47" s="14">
        <v>137220</v>
      </c>
      <c r="F47" s="14">
        <v>119490.06</v>
      </c>
      <c r="G47" s="14">
        <v>222502</v>
      </c>
      <c r="H47" s="14">
        <v>96853</v>
      </c>
      <c r="I47" s="14">
        <v>135145</v>
      </c>
      <c r="J47" s="14">
        <v>97126</v>
      </c>
      <c r="K47" s="14">
        <v>65278.54</v>
      </c>
      <c r="L47" s="14">
        <v>143244</v>
      </c>
      <c r="M47" s="14">
        <v>120554.8</v>
      </c>
      <c r="N47" s="14">
        <v>83554</v>
      </c>
      <c r="O47" s="14">
        <v>134407</v>
      </c>
      <c r="P47" s="14">
        <v>97872</v>
      </c>
      <c r="Q47" s="14">
        <v>47229.279999999999</v>
      </c>
      <c r="R47" s="14">
        <v>57165</v>
      </c>
      <c r="S47" s="14">
        <v>75325</v>
      </c>
      <c r="T47" s="14">
        <v>148976.26</v>
      </c>
      <c r="U47" s="14">
        <v>77467</v>
      </c>
      <c r="V47" s="14"/>
      <c r="W47" s="14">
        <f t="shared" si="1"/>
        <v>11897151.469999999</v>
      </c>
      <c r="X47" s="34">
        <f>W47-'Bilans 31.12.2018'!E21</f>
        <v>0</v>
      </c>
    </row>
    <row r="48" spans="1:25" ht="30">
      <c r="A48" s="12"/>
      <c r="B48" s="2" t="s">
        <v>26</v>
      </c>
      <c r="C48" s="14">
        <v>16264393.26</v>
      </c>
      <c r="D48" s="14">
        <v>713104.27</v>
      </c>
      <c r="E48" s="14">
        <v>700200.66</v>
      </c>
      <c r="F48" s="14">
        <v>616187.43999999994</v>
      </c>
      <c r="G48" s="14">
        <v>1144382.8700000001</v>
      </c>
      <c r="H48" s="14">
        <v>491694.11</v>
      </c>
      <c r="I48" s="14">
        <v>703174.23</v>
      </c>
      <c r="J48" s="14">
        <v>499483.03</v>
      </c>
      <c r="K48" s="14">
        <v>308892.09000000003</v>
      </c>
      <c r="L48" s="14">
        <v>737282.14</v>
      </c>
      <c r="M48" s="14">
        <v>623551</v>
      </c>
      <c r="N48" s="14">
        <v>422597.74</v>
      </c>
      <c r="O48" s="14">
        <v>687648.28</v>
      </c>
      <c r="P48" s="14">
        <v>504121.96</v>
      </c>
      <c r="Q48" s="14">
        <v>240823.87</v>
      </c>
      <c r="R48" s="14">
        <v>296582.5</v>
      </c>
      <c r="S48" s="14">
        <v>384430.67</v>
      </c>
      <c r="T48" s="14">
        <v>773066.27</v>
      </c>
      <c r="U48" s="14">
        <v>399793.61</v>
      </c>
      <c r="V48" s="14"/>
      <c r="W48" s="14">
        <f t="shared" si="1"/>
        <v>26511410.000000007</v>
      </c>
      <c r="X48" s="34">
        <f>W48-'Bilans 31.12.2018'!E22</f>
        <v>0</v>
      </c>
    </row>
    <row r="49" spans="1:24">
      <c r="A49" s="12"/>
      <c r="B49" s="2" t="s">
        <v>28</v>
      </c>
      <c r="C49" s="14">
        <v>17524292.420000002</v>
      </c>
      <c r="D49" s="14">
        <v>1248219.67</v>
      </c>
      <c r="E49" s="14">
        <v>1231949.83</v>
      </c>
      <c r="F49" s="14">
        <v>1081952.3799999999</v>
      </c>
      <c r="G49" s="14">
        <v>2069627.28</v>
      </c>
      <c r="H49" s="14">
        <v>903670.46</v>
      </c>
      <c r="I49" s="14">
        <v>1300681.04</v>
      </c>
      <c r="J49" s="14">
        <v>961312.03</v>
      </c>
      <c r="K49" s="14">
        <v>541555.56999999995</v>
      </c>
      <c r="L49" s="14">
        <v>1288739.75</v>
      </c>
      <c r="M49" s="14">
        <v>1075925.83</v>
      </c>
      <c r="N49" s="14">
        <v>753386.71</v>
      </c>
      <c r="O49" s="14">
        <v>1208431.1599999999</v>
      </c>
      <c r="P49" s="14">
        <v>883420.56</v>
      </c>
      <c r="Q49" s="14">
        <v>464724.56</v>
      </c>
      <c r="R49" s="14">
        <v>520737.4</v>
      </c>
      <c r="S49" s="14">
        <v>674417.59</v>
      </c>
      <c r="T49" s="14">
        <v>1346900.21</v>
      </c>
      <c r="U49" s="14">
        <v>704230.29</v>
      </c>
      <c r="V49" s="14"/>
      <c r="W49" s="14">
        <f t="shared" si="1"/>
        <v>35784174.740000002</v>
      </c>
      <c r="X49" s="34">
        <f>W49-'Bilans 31.12.2018'!E23</f>
        <v>0</v>
      </c>
    </row>
    <row r="50" spans="1:24">
      <c r="A50" s="12"/>
      <c r="B50" s="2" t="s">
        <v>30</v>
      </c>
      <c r="C50" s="14">
        <v>111578370.14</v>
      </c>
      <c r="D50" s="14">
        <v>10140294.529999999</v>
      </c>
      <c r="E50" s="14">
        <v>11873772.68</v>
      </c>
      <c r="F50" s="14">
        <v>15649561.48</v>
      </c>
      <c r="G50" s="14">
        <v>31185133.07</v>
      </c>
      <c r="H50" s="14">
        <v>27391394.27</v>
      </c>
      <c r="I50" s="14">
        <v>19602979.390000001</v>
      </c>
      <c r="J50" s="14">
        <v>17868517.530000001</v>
      </c>
      <c r="K50" s="14">
        <v>6646703.0199999996</v>
      </c>
      <c r="L50" s="14">
        <v>36602037.140000001</v>
      </c>
      <c r="M50" s="14">
        <v>16819853.199999999</v>
      </c>
      <c r="N50" s="14">
        <v>5401972.5199999996</v>
      </c>
      <c r="O50" s="14">
        <v>15156424.5</v>
      </c>
      <c r="P50" s="14">
        <v>12129823.75</v>
      </c>
      <c r="Q50" s="14">
        <v>2462615.56</v>
      </c>
      <c r="R50" s="14">
        <v>3293187.05</v>
      </c>
      <c r="S50" s="14">
        <v>6591742.2000000002</v>
      </c>
      <c r="T50" s="14">
        <v>56001559.75</v>
      </c>
      <c r="U50" s="14">
        <v>8475897.1999999993</v>
      </c>
      <c r="V50" s="14">
        <f>-'[1]Nal-Zob'!$F$60</f>
        <v>-166700470.91999999</v>
      </c>
      <c r="W50" s="14">
        <f t="shared" si="1"/>
        <v>248171368.05999997</v>
      </c>
      <c r="X50" s="34">
        <f>W50-'Bilans 31.12.2018'!E24</f>
        <v>0</v>
      </c>
    </row>
    <row r="51" spans="1:24" ht="30">
      <c r="A51" s="12"/>
      <c r="B51" s="2" t="s">
        <v>72</v>
      </c>
      <c r="C51" s="14">
        <v>8759246.0999999996</v>
      </c>
      <c r="D51" s="14">
        <v>3872763.09</v>
      </c>
      <c r="E51" s="14">
        <v>11439781.119999999</v>
      </c>
      <c r="F51" s="14">
        <v>3203636.34</v>
      </c>
      <c r="G51" s="14">
        <v>6747484.7699999996</v>
      </c>
      <c r="H51" s="14">
        <v>3855334.64</v>
      </c>
      <c r="I51" s="14">
        <v>5019351.63</v>
      </c>
      <c r="J51" s="14">
        <v>1178852.42</v>
      </c>
      <c r="K51" s="14">
        <v>882550.67</v>
      </c>
      <c r="L51" s="14">
        <v>2726577.8</v>
      </c>
      <c r="M51" s="14">
        <v>9407604.2599999998</v>
      </c>
      <c r="N51" s="14">
        <v>9240400.1400000006</v>
      </c>
      <c r="O51" s="14">
        <v>9092519.4199999999</v>
      </c>
      <c r="P51" s="14">
        <v>2436709.59</v>
      </c>
      <c r="Q51" s="14">
        <v>341544.12</v>
      </c>
      <c r="R51" s="14">
        <v>5847268.5</v>
      </c>
      <c r="S51" s="14">
        <v>1330584.6000000001</v>
      </c>
      <c r="T51" s="14">
        <v>2700071.1</v>
      </c>
      <c r="U51" s="14">
        <v>1232187.77</v>
      </c>
      <c r="V51" s="14"/>
      <c r="W51" s="14">
        <f t="shared" si="1"/>
        <v>89314468.079999998</v>
      </c>
      <c r="X51" s="34">
        <f>W51-'Bilans 31.12.2018'!E25</f>
        <v>0</v>
      </c>
    </row>
    <row r="52" spans="1:24" ht="30">
      <c r="A52" s="12"/>
      <c r="B52" s="2" t="s">
        <v>33</v>
      </c>
      <c r="C52" s="14">
        <v>453932.38</v>
      </c>
      <c r="D52" s="14">
        <v>5674.8</v>
      </c>
      <c r="E52" s="14">
        <v>0</v>
      </c>
      <c r="F52" s="14">
        <v>0</v>
      </c>
      <c r="G52" s="14">
        <v>57836.54</v>
      </c>
      <c r="H52" s="14">
        <v>110468.01</v>
      </c>
      <c r="I52" s="14">
        <v>694.6</v>
      </c>
      <c r="J52" s="14">
        <v>71.13</v>
      </c>
      <c r="K52" s="14">
        <v>0</v>
      </c>
      <c r="L52" s="14">
        <v>164834.19</v>
      </c>
      <c r="M52" s="14">
        <v>7200.54</v>
      </c>
      <c r="N52" s="14">
        <v>91583.69</v>
      </c>
      <c r="O52" s="14">
        <v>0</v>
      </c>
      <c r="P52" s="14">
        <v>0</v>
      </c>
      <c r="Q52" s="14">
        <v>913.23</v>
      </c>
      <c r="R52" s="14">
        <v>4243.6000000000004</v>
      </c>
      <c r="S52" s="14">
        <v>0</v>
      </c>
      <c r="T52" s="14">
        <v>3661.5</v>
      </c>
      <c r="U52" s="14">
        <v>0</v>
      </c>
      <c r="V52" s="14"/>
      <c r="W52" s="14">
        <f t="shared" si="1"/>
        <v>901114.20999999985</v>
      </c>
      <c r="X52" s="34">
        <f>W52-'Bilans 31.12.2018'!E26</f>
        <v>0</v>
      </c>
    </row>
    <row r="53" spans="1:24">
      <c r="A53" s="12"/>
      <c r="B53" s="2" t="s">
        <v>35</v>
      </c>
      <c r="C53" s="14">
        <v>7121447.96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4">
        <v>0</v>
      </c>
      <c r="Q53" s="14">
        <v>0</v>
      </c>
      <c r="R53" s="14">
        <v>0</v>
      </c>
      <c r="S53" s="14">
        <v>0</v>
      </c>
      <c r="T53" s="14">
        <v>0</v>
      </c>
      <c r="U53" s="14">
        <v>0</v>
      </c>
      <c r="V53" s="14">
        <f>SUM(V54:V55)</f>
        <v>0</v>
      </c>
      <c r="W53" s="14">
        <f>SUM(W54:W55)</f>
        <v>7121447.96</v>
      </c>
      <c r="X53" s="34">
        <f>W53-'Bilans 31.12.2018'!E27</f>
        <v>0</v>
      </c>
    </row>
    <row r="54" spans="1:24" ht="30">
      <c r="A54" s="8"/>
      <c r="B54" s="2" t="s">
        <v>37</v>
      </c>
      <c r="C54" s="14">
        <v>7121447.96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14">
        <v>0</v>
      </c>
      <c r="Q54" s="14">
        <v>0</v>
      </c>
      <c r="R54" s="14">
        <v>0</v>
      </c>
      <c r="S54" s="14">
        <v>0</v>
      </c>
      <c r="T54" s="14">
        <v>0</v>
      </c>
      <c r="U54" s="14">
        <v>0</v>
      </c>
      <c r="V54" s="14"/>
      <c r="W54" s="14">
        <f>SUM(C54:V54)</f>
        <v>7121447.96</v>
      </c>
      <c r="X54" s="34">
        <f>W54-'Bilans 31.12.2018'!E28</f>
        <v>0</v>
      </c>
    </row>
    <row r="55" spans="1:24">
      <c r="A55" s="12"/>
      <c r="B55" s="2" t="s">
        <v>39</v>
      </c>
      <c r="C55" s="14">
        <v>0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14">
        <v>0</v>
      </c>
      <c r="Q55" s="14">
        <v>0</v>
      </c>
      <c r="R55" s="14">
        <v>0</v>
      </c>
      <c r="S55" s="14">
        <v>0</v>
      </c>
      <c r="T55" s="14">
        <v>0</v>
      </c>
      <c r="U55" s="14">
        <v>0</v>
      </c>
      <c r="V55" s="14"/>
      <c r="W55" s="14">
        <f>SUM(C55:V55)</f>
        <v>0</v>
      </c>
      <c r="X55" s="34">
        <f>W55-'Bilans 31.12.2018'!E29</f>
        <v>0</v>
      </c>
    </row>
    <row r="56" spans="1:24" s="22" customFormat="1">
      <c r="A56" s="8"/>
      <c r="B56" s="1" t="s">
        <v>41</v>
      </c>
      <c r="C56" s="10">
        <v>5214034285.3699999</v>
      </c>
      <c r="D56" s="10">
        <v>11661076.619999999</v>
      </c>
      <c r="E56" s="10">
        <v>41847375.420000002</v>
      </c>
      <c r="F56" s="10">
        <v>40866424.890000001</v>
      </c>
      <c r="G56" s="10">
        <v>237447618.53</v>
      </c>
      <c r="H56" s="10">
        <v>131175822.03</v>
      </c>
      <c r="I56" s="10">
        <v>15827116.460000001</v>
      </c>
      <c r="J56" s="10">
        <v>38432110.829999998</v>
      </c>
      <c r="K56" s="10">
        <v>1183990.33</v>
      </c>
      <c r="L56" s="10">
        <v>52104500.090000004</v>
      </c>
      <c r="M56" s="10">
        <v>10078742.199999999</v>
      </c>
      <c r="N56" s="10">
        <v>1759583.5</v>
      </c>
      <c r="O56" s="10">
        <v>130785201.54000001</v>
      </c>
      <c r="P56" s="10">
        <v>2372970.65</v>
      </c>
      <c r="Q56" s="10">
        <v>109682.72</v>
      </c>
      <c r="R56" s="10">
        <v>13552146.08</v>
      </c>
      <c r="S56" s="10">
        <v>22741113.640000001</v>
      </c>
      <c r="T56" s="10">
        <v>185585667.15000001</v>
      </c>
      <c r="U56" s="10">
        <v>4418918.96</v>
      </c>
      <c r="V56" s="10">
        <f>SUM(V57:V58)</f>
        <v>0</v>
      </c>
      <c r="W56" s="10">
        <f>SUM(C56:V56)</f>
        <v>6155984347.0099993</v>
      </c>
      <c r="X56" s="31">
        <f>W56-'Bilans 31.12.2018'!E30</f>
        <v>0</v>
      </c>
    </row>
    <row r="57" spans="1:24" s="22" customFormat="1">
      <c r="A57" s="8"/>
      <c r="B57" s="1" t="s">
        <v>59</v>
      </c>
      <c r="C57" s="10">
        <v>0</v>
      </c>
      <c r="D57" s="10">
        <v>2304618.0499999998</v>
      </c>
      <c r="E57" s="10">
        <v>11990693.609999999</v>
      </c>
      <c r="F57" s="10">
        <v>3726578.64</v>
      </c>
      <c r="G57" s="10">
        <v>5846052.8499999996</v>
      </c>
      <c r="H57" s="10">
        <v>33309530.18</v>
      </c>
      <c r="I57" s="10">
        <v>15508395.449999999</v>
      </c>
      <c r="J57" s="10">
        <v>4046658.09</v>
      </c>
      <c r="K57" s="10">
        <v>8410620.0099999998</v>
      </c>
      <c r="L57" s="10">
        <v>0</v>
      </c>
      <c r="M57" s="10">
        <v>3579156.31</v>
      </c>
      <c r="N57" s="10">
        <v>2988970.37</v>
      </c>
      <c r="O57" s="10">
        <v>11736926.16</v>
      </c>
      <c r="P57" s="10">
        <v>14247947.58</v>
      </c>
      <c r="Q57" s="10">
        <v>2619633.4700000002</v>
      </c>
      <c r="R57" s="10">
        <v>2525348.25</v>
      </c>
      <c r="S57" s="10">
        <v>5566782.8499999996</v>
      </c>
      <c r="T57" s="10">
        <v>7545154.9100000001</v>
      </c>
      <c r="U57" s="10">
        <v>4247729.59</v>
      </c>
      <c r="V57" s="10">
        <v>0</v>
      </c>
      <c r="W57" s="10">
        <f>SUM(W58:W59)</f>
        <v>140200796.37</v>
      </c>
      <c r="X57" s="31">
        <f>W57-'Bilans 31.12.2018'!E31</f>
        <v>0</v>
      </c>
    </row>
    <row r="58" spans="1:24">
      <c r="A58" s="12"/>
      <c r="B58" s="2" t="s">
        <v>44</v>
      </c>
      <c r="C58" s="14">
        <v>0</v>
      </c>
      <c r="D58" s="14">
        <v>2304618.0499999998</v>
      </c>
      <c r="E58" s="14">
        <v>11990693.609999999</v>
      </c>
      <c r="F58" s="14">
        <v>3726578.64</v>
      </c>
      <c r="G58" s="14">
        <v>5846052.8499999996</v>
      </c>
      <c r="H58" s="14">
        <v>33309530.18</v>
      </c>
      <c r="I58" s="14">
        <v>15508395.449999999</v>
      </c>
      <c r="J58" s="14">
        <v>4046658.09</v>
      </c>
      <c r="K58" s="14">
        <v>8410620.0099999998</v>
      </c>
      <c r="L58" s="14">
        <v>0</v>
      </c>
      <c r="M58" s="14">
        <v>3579156.31</v>
      </c>
      <c r="N58" s="14">
        <v>2988970.37</v>
      </c>
      <c r="O58" s="14">
        <v>11736926.16</v>
      </c>
      <c r="P58" s="14">
        <v>14247947.58</v>
      </c>
      <c r="Q58" s="14">
        <v>2619633.4700000002</v>
      </c>
      <c r="R58" s="14">
        <v>2525348.25</v>
      </c>
      <c r="S58" s="14">
        <v>5566782.8499999996</v>
      </c>
      <c r="T58" s="14">
        <v>7545154.9100000001</v>
      </c>
      <c r="U58" s="14">
        <v>4247729.59</v>
      </c>
      <c r="V58" s="14"/>
      <c r="W58" s="14">
        <f>SUM(C58:V58)</f>
        <v>140200796.37</v>
      </c>
      <c r="X58" s="34">
        <f>W58-'Bilans 31.12.2018'!E32</f>
        <v>0</v>
      </c>
    </row>
    <row r="59" spans="1:24">
      <c r="A59" s="12"/>
      <c r="B59" s="2" t="s">
        <v>73</v>
      </c>
      <c r="C59" s="14">
        <v>0</v>
      </c>
      <c r="D59" s="14">
        <v>0</v>
      </c>
      <c r="E59" s="14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14">
        <v>0</v>
      </c>
      <c r="Q59" s="14">
        <v>0</v>
      </c>
      <c r="R59" s="14">
        <v>0</v>
      </c>
      <c r="S59" s="14">
        <v>0</v>
      </c>
      <c r="T59" s="14">
        <v>0</v>
      </c>
      <c r="U59" s="14">
        <v>0</v>
      </c>
      <c r="V59" s="14"/>
      <c r="W59" s="14">
        <f>SUM(C59:V59)</f>
        <v>0</v>
      </c>
      <c r="X59" s="34">
        <f>W59-'Bilans 31.12.2018'!E33</f>
        <v>0</v>
      </c>
    </row>
    <row r="60" spans="1:24" s="22" customFormat="1">
      <c r="A60" s="8"/>
      <c r="B60" s="9" t="s">
        <v>61</v>
      </c>
      <c r="C60" s="10">
        <v>12867500206.34</v>
      </c>
      <c r="D60" s="10">
        <v>3492649138.4099998</v>
      </c>
      <c r="E60" s="10">
        <v>2921286536.71</v>
      </c>
      <c r="F60" s="10">
        <v>3030780646.77</v>
      </c>
      <c r="G60" s="10">
        <v>22626194534.93</v>
      </c>
      <c r="H60" s="10">
        <v>5059867342.4799995</v>
      </c>
      <c r="I60" s="10">
        <v>6407772850.9499998</v>
      </c>
      <c r="J60" s="10">
        <v>618395272.65999997</v>
      </c>
      <c r="K60" s="10">
        <v>296316055.81999999</v>
      </c>
      <c r="L60" s="10">
        <v>8571980787.8699999</v>
      </c>
      <c r="M60" s="10">
        <v>2915293245.0700002</v>
      </c>
      <c r="N60" s="10">
        <v>863401012.42999995</v>
      </c>
      <c r="O60" s="10">
        <v>7357384672.7200003</v>
      </c>
      <c r="P60" s="10">
        <v>1102345427.6400001</v>
      </c>
      <c r="Q60" s="10">
        <v>648747018.20000005</v>
      </c>
      <c r="R60" s="10">
        <v>1541093043.54</v>
      </c>
      <c r="S60" s="10">
        <v>702609978.54999995</v>
      </c>
      <c r="T60" s="10">
        <v>11265374995.370001</v>
      </c>
      <c r="U60" s="10">
        <v>3252695297.5300002</v>
      </c>
      <c r="V60" s="10">
        <f>V34+V41+V42+V43</f>
        <v>-166763255.91999999</v>
      </c>
      <c r="W60" s="10">
        <f>W34+W41+W42+W43</f>
        <v>95374924808.069992</v>
      </c>
      <c r="X60" s="31">
        <f>W60-'Bilans 31.12.2018'!E48</f>
        <v>0</v>
      </c>
    </row>
    <row r="62" spans="1:24" s="27" customFormat="1" ht="12.75">
      <c r="B62" s="27" t="s">
        <v>196</v>
      </c>
      <c r="C62" s="24">
        <f>C60-'Aktywa BO'!C88</f>
        <v>0</v>
      </c>
      <c r="D62" s="24">
        <f>D60-'Aktywa BO'!D88</f>
        <v>0</v>
      </c>
      <c r="E62" s="24">
        <f>E60-'Aktywa BO'!E88</f>
        <v>0</v>
      </c>
      <c r="F62" s="24">
        <f>F60-'Aktywa BO'!F88</f>
        <v>0</v>
      </c>
      <c r="G62" s="24">
        <f>G60-'Aktywa BO'!G88</f>
        <v>0</v>
      </c>
      <c r="H62" s="24">
        <f>H60-'Aktywa BO'!H88</f>
        <v>0</v>
      </c>
      <c r="I62" s="24">
        <f>I60-'Aktywa BO'!I88</f>
        <v>0</v>
      </c>
      <c r="J62" s="24">
        <f>J60-'Aktywa BO'!J88</f>
        <v>0</v>
      </c>
      <c r="K62" s="24">
        <f>K60-'Aktywa BO'!K88</f>
        <v>0</v>
      </c>
      <c r="L62" s="24">
        <f>L60-'Aktywa BO'!L88</f>
        <v>0</v>
      </c>
      <c r="M62" s="24">
        <f>M60-'Aktywa BO'!M88</f>
        <v>0</v>
      </c>
      <c r="N62" s="24">
        <f>N60-'Aktywa BO'!N88</f>
        <v>0</v>
      </c>
      <c r="O62" s="24">
        <f>O60-'Aktywa BO'!O88</f>
        <v>0</v>
      </c>
      <c r="P62" s="24">
        <f>P60-'Aktywa BO'!P88</f>
        <v>0</v>
      </c>
      <c r="Q62" s="24">
        <f>Q60-'Aktywa BO'!Q88</f>
        <v>0</v>
      </c>
      <c r="R62" s="24">
        <f>R60-'Aktywa BO'!R88</f>
        <v>0</v>
      </c>
      <c r="S62" s="24">
        <f>S60-'Aktywa BO'!S88</f>
        <v>0</v>
      </c>
      <c r="T62" s="24">
        <f>T60-'Aktywa BO'!T88</f>
        <v>0</v>
      </c>
      <c r="U62" s="24">
        <f>U60-'Aktywa BO'!U88</f>
        <v>0</v>
      </c>
      <c r="V62" s="24">
        <f>V60-'Aktywa BO'!V88</f>
        <v>0</v>
      </c>
      <c r="W62" s="24">
        <f>W60-'Aktywa BO'!W88</f>
        <v>0</v>
      </c>
    </row>
    <row r="63" spans="1:24" s="27" customFormat="1" ht="12.75">
      <c r="B63" s="27" t="s">
        <v>197</v>
      </c>
      <c r="C63" s="24">
        <f>C36-'RZiS BO'!C42</f>
        <v>0</v>
      </c>
      <c r="D63" s="24">
        <f>D36-'RZiS BO'!D42</f>
        <v>0</v>
      </c>
      <c r="E63" s="24">
        <f>E36-'RZiS BO'!E42</f>
        <v>0</v>
      </c>
      <c r="F63" s="24">
        <f>F36-'RZiS BO'!F42</f>
        <v>0</v>
      </c>
      <c r="G63" s="24">
        <f>G36-'RZiS BO'!G42</f>
        <v>0</v>
      </c>
      <c r="H63" s="24">
        <f>H36-'RZiS BO'!H42</f>
        <v>0</v>
      </c>
      <c r="I63" s="24">
        <f>I36-'RZiS BO'!I42</f>
        <v>0</v>
      </c>
      <c r="J63" s="24">
        <f>J36-'RZiS BO'!J42</f>
        <v>0</v>
      </c>
      <c r="K63" s="24">
        <f>K36-'RZiS BO'!K42</f>
        <v>0</v>
      </c>
      <c r="L63" s="24">
        <f>L36-'RZiS BO'!L42</f>
        <v>0</v>
      </c>
      <c r="M63" s="24">
        <f>M36-'RZiS BO'!M42</f>
        <v>0</v>
      </c>
      <c r="N63" s="24">
        <f>N36-'RZiS BO'!N42</f>
        <v>0</v>
      </c>
      <c r="O63" s="24">
        <f>O36-'RZiS BO'!O42</f>
        <v>0</v>
      </c>
      <c r="P63" s="24">
        <f>P36-'RZiS BO'!P42</f>
        <v>0</v>
      </c>
      <c r="Q63" s="24">
        <f>Q36-'RZiS BO'!Q42</f>
        <v>0</v>
      </c>
      <c r="R63" s="24">
        <f>R36-'RZiS BO'!R42</f>
        <v>0</v>
      </c>
      <c r="S63" s="24">
        <f>S36-'RZiS BO'!S42</f>
        <v>0</v>
      </c>
      <c r="T63" s="24">
        <f>T36-'RZiS BO'!T42</f>
        <v>0</v>
      </c>
      <c r="U63" s="24">
        <f>U36-'RZiS BO'!U42</f>
        <v>0</v>
      </c>
      <c r="V63" s="24">
        <f>V36-'RZiS BO'!V42</f>
        <v>0</v>
      </c>
      <c r="W63" s="24">
        <f>W36-'RZiS BO'!W42</f>
        <v>0</v>
      </c>
    </row>
    <row r="64" spans="1:24" s="27" customFormat="1" ht="12.75">
      <c r="B64" s="33" t="s">
        <v>198</v>
      </c>
      <c r="C64" s="24">
        <f>C34-'ZZwFJ BO'!C30</f>
        <v>0</v>
      </c>
      <c r="D64" s="24">
        <f>D34-'ZZwFJ BO'!D30</f>
        <v>0</v>
      </c>
      <c r="E64" s="24">
        <f>E34-'ZZwFJ BO'!E30</f>
        <v>0</v>
      </c>
      <c r="F64" s="24">
        <f>F34-'ZZwFJ BO'!F30</f>
        <v>0</v>
      </c>
      <c r="G64" s="24">
        <f>G34-'ZZwFJ BO'!G30</f>
        <v>0</v>
      </c>
      <c r="H64" s="24">
        <f>H34-'ZZwFJ BO'!H30</f>
        <v>0</v>
      </c>
      <c r="I64" s="24">
        <f>I34-'ZZwFJ BO'!I30</f>
        <v>0</v>
      </c>
      <c r="J64" s="24">
        <f>J34-'ZZwFJ BO'!J30</f>
        <v>0</v>
      </c>
      <c r="K64" s="24">
        <f>K34-'ZZwFJ BO'!K30</f>
        <v>0</v>
      </c>
      <c r="L64" s="24">
        <f>L34-'ZZwFJ BO'!L30</f>
        <v>0</v>
      </c>
      <c r="M64" s="24">
        <f>M34-'ZZwFJ BO'!M30</f>
        <v>0</v>
      </c>
      <c r="N64" s="24">
        <f>N34-'ZZwFJ BO'!N30</f>
        <v>0</v>
      </c>
      <c r="O64" s="24">
        <f>O34-'ZZwFJ BO'!O30</f>
        <v>0</v>
      </c>
      <c r="P64" s="24">
        <f>P34-'ZZwFJ BO'!P30</f>
        <v>0</v>
      </c>
      <c r="Q64" s="24">
        <f>Q34-'ZZwFJ BO'!Q30</f>
        <v>0</v>
      </c>
      <c r="R64" s="24">
        <f>R34-'ZZwFJ BO'!R30</f>
        <v>0</v>
      </c>
      <c r="S64" s="24">
        <f>S34-'ZZwFJ BO'!S30</f>
        <v>0</v>
      </c>
      <c r="T64" s="24">
        <f>T34-'ZZwFJ BO'!T30</f>
        <v>0</v>
      </c>
      <c r="U64" s="24">
        <f>U34-'ZZwFJ BO'!U30</f>
        <v>0</v>
      </c>
      <c r="V64" s="24">
        <f>V34-'ZZwFJ BO'!V30</f>
        <v>0</v>
      </c>
      <c r="W64" s="24">
        <f>W34-'ZZwFJ BO'!W30</f>
        <v>0</v>
      </c>
    </row>
    <row r="65" spans="2:23">
      <c r="B65" s="33" t="s">
        <v>199</v>
      </c>
      <c r="C65" s="24">
        <f>C36-'ZZwFJ BO'!C27-'ZZwFJ BO'!C28</f>
        <v>0</v>
      </c>
      <c r="D65" s="24">
        <f>D36-'ZZwFJ BO'!D27-'ZZwFJ BO'!D28</f>
        <v>0</v>
      </c>
      <c r="E65" s="24">
        <f>E36-'ZZwFJ BO'!E27-'ZZwFJ BO'!E28</f>
        <v>0</v>
      </c>
      <c r="F65" s="24">
        <f>F36-'ZZwFJ BO'!F27-'ZZwFJ BO'!F28</f>
        <v>0</v>
      </c>
      <c r="G65" s="24">
        <f>G36-'ZZwFJ BO'!G27-'ZZwFJ BO'!G28</f>
        <v>0</v>
      </c>
      <c r="H65" s="24">
        <f>H36-'ZZwFJ BO'!H27-'ZZwFJ BO'!H28</f>
        <v>0</v>
      </c>
      <c r="I65" s="24">
        <f>I36-'ZZwFJ BO'!I27-'ZZwFJ BO'!I28</f>
        <v>0</v>
      </c>
      <c r="J65" s="24">
        <f>J36-'ZZwFJ BO'!J27-'ZZwFJ BO'!J28</f>
        <v>0</v>
      </c>
      <c r="K65" s="24">
        <f>K36-'ZZwFJ BO'!K27-'ZZwFJ BO'!K28</f>
        <v>0</v>
      </c>
      <c r="L65" s="24">
        <f>L36-'ZZwFJ BO'!L27-'ZZwFJ BO'!L28</f>
        <v>0</v>
      </c>
      <c r="M65" s="24">
        <f>M36-'ZZwFJ BO'!M27-'ZZwFJ BO'!M28</f>
        <v>0</v>
      </c>
      <c r="N65" s="24">
        <f>N36-'ZZwFJ BO'!N27-'ZZwFJ BO'!N28</f>
        <v>0</v>
      </c>
      <c r="O65" s="24">
        <f>O36-'ZZwFJ BO'!O27-'ZZwFJ BO'!O28</f>
        <v>0</v>
      </c>
      <c r="P65" s="24">
        <f>P36-'ZZwFJ BO'!P27-'ZZwFJ BO'!P28</f>
        <v>0</v>
      </c>
      <c r="Q65" s="24">
        <f>Q36-'ZZwFJ BO'!Q27-'ZZwFJ BO'!Q28</f>
        <v>0</v>
      </c>
      <c r="R65" s="24">
        <f>R36-'ZZwFJ BO'!R27-'ZZwFJ BO'!R28</f>
        <v>0</v>
      </c>
      <c r="S65" s="24">
        <f>S36-'ZZwFJ BO'!S27-'ZZwFJ BO'!S28</f>
        <v>0</v>
      </c>
      <c r="T65" s="24">
        <f>T36-'ZZwFJ BO'!T27-'ZZwFJ BO'!T28</f>
        <v>0</v>
      </c>
      <c r="U65" s="24">
        <f>U36-'ZZwFJ BO'!U27-'ZZwFJ BO'!U28</f>
        <v>0</v>
      </c>
      <c r="V65" s="24">
        <f>V36-'ZZwFJ BO'!V27-'ZZwFJ BO'!V28</f>
        <v>0</v>
      </c>
      <c r="W65" s="24">
        <f>W36-'ZZwFJ BO'!W27-'ZZwFJ BO'!W28</f>
        <v>0</v>
      </c>
    </row>
    <row r="66" spans="2:23">
      <c r="B66" s="33" t="s">
        <v>200</v>
      </c>
      <c r="C66" s="24">
        <f>C39+'ZZwFJ BO'!C29</f>
        <v>0</v>
      </c>
      <c r="D66" s="24">
        <f>D39+'ZZwFJ BO'!D29</f>
        <v>0</v>
      </c>
      <c r="E66" s="24">
        <f>E39+'ZZwFJ BO'!E29</f>
        <v>0</v>
      </c>
      <c r="F66" s="24">
        <f>F39+'ZZwFJ BO'!F29</f>
        <v>0</v>
      </c>
      <c r="G66" s="24">
        <f>G39+'ZZwFJ BO'!G29</f>
        <v>0</v>
      </c>
      <c r="H66" s="24">
        <f>H39+'ZZwFJ BO'!H29</f>
        <v>0</v>
      </c>
      <c r="I66" s="24">
        <f>I39+'ZZwFJ BO'!I29</f>
        <v>0</v>
      </c>
      <c r="J66" s="24">
        <f>J39+'ZZwFJ BO'!J29</f>
        <v>0</v>
      </c>
      <c r="K66" s="24">
        <f>K39+'ZZwFJ BO'!K29</f>
        <v>0</v>
      </c>
      <c r="L66" s="24">
        <f>L39+'ZZwFJ BO'!L29</f>
        <v>0</v>
      </c>
      <c r="M66" s="24">
        <f>M39+'ZZwFJ BO'!M29</f>
        <v>0</v>
      </c>
      <c r="N66" s="24">
        <f>N39+'ZZwFJ BO'!N29</f>
        <v>0</v>
      </c>
      <c r="O66" s="24">
        <f>O39+'ZZwFJ BO'!O29</f>
        <v>0</v>
      </c>
      <c r="P66" s="24">
        <f>P39+'ZZwFJ BO'!P29</f>
        <v>0</v>
      </c>
      <c r="Q66" s="24">
        <f>Q39+'ZZwFJ BO'!Q29</f>
        <v>0</v>
      </c>
      <c r="R66" s="24">
        <f>R39+'ZZwFJ BO'!R29</f>
        <v>0</v>
      </c>
      <c r="S66" s="24">
        <f>S39+'ZZwFJ BO'!S29</f>
        <v>0</v>
      </c>
      <c r="T66" s="24">
        <f>T39+'ZZwFJ BO'!T29</f>
        <v>0</v>
      </c>
      <c r="U66" s="24">
        <f>U39+'ZZwFJ BO'!U29</f>
        <v>0</v>
      </c>
      <c r="V66" s="24">
        <f>V39+'ZZwFJ BO'!V29</f>
        <v>0</v>
      </c>
      <c r="W66" s="24">
        <f>W39+'ZZwFJ BO'!W29</f>
        <v>0</v>
      </c>
    </row>
    <row r="68" spans="2:23" s="22" customFormat="1">
      <c r="B68" s="6" t="s">
        <v>161</v>
      </c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2:23">
      <c r="B69" s="1" t="s">
        <v>64</v>
      </c>
      <c r="C69" s="14">
        <f t="shared" ref="C69:U69" si="2">C3-C34</f>
        <v>0</v>
      </c>
      <c r="D69" s="14">
        <f t="shared" si="2"/>
        <v>0</v>
      </c>
      <c r="E69" s="14">
        <f t="shared" si="2"/>
        <v>0</v>
      </c>
      <c r="F69" s="14">
        <f t="shared" si="2"/>
        <v>0</v>
      </c>
      <c r="G69" s="14">
        <f t="shared" si="2"/>
        <v>0</v>
      </c>
      <c r="H69" s="14">
        <f t="shared" si="2"/>
        <v>0</v>
      </c>
      <c r="I69" s="14">
        <f t="shared" si="2"/>
        <v>0</v>
      </c>
      <c r="J69" s="14">
        <f t="shared" si="2"/>
        <v>0</v>
      </c>
      <c r="K69" s="14">
        <f t="shared" si="2"/>
        <v>0</v>
      </c>
      <c r="L69" s="14">
        <f t="shared" si="2"/>
        <v>0</v>
      </c>
      <c r="M69" s="14">
        <f t="shared" si="2"/>
        <v>0</v>
      </c>
      <c r="N69" s="14">
        <f t="shared" si="2"/>
        <v>0</v>
      </c>
      <c r="O69" s="14">
        <f t="shared" si="2"/>
        <v>0</v>
      </c>
      <c r="P69" s="14">
        <f t="shared" si="2"/>
        <v>0</v>
      </c>
      <c r="Q69" s="14">
        <f t="shared" si="2"/>
        <v>0</v>
      </c>
      <c r="R69" s="14">
        <f t="shared" si="2"/>
        <v>0</v>
      </c>
      <c r="S69" s="14">
        <f t="shared" si="2"/>
        <v>0</v>
      </c>
      <c r="T69" s="14">
        <f t="shared" si="2"/>
        <v>0</v>
      </c>
      <c r="U69" s="14">
        <f t="shared" si="2"/>
        <v>0</v>
      </c>
      <c r="V69" s="14"/>
      <c r="W69" s="14"/>
    </row>
    <row r="70" spans="2:23">
      <c r="B70" s="1" t="s">
        <v>7</v>
      </c>
      <c r="C70" s="14">
        <f t="shared" ref="C70:U70" si="3">C4-C35</f>
        <v>0</v>
      </c>
      <c r="D70" s="14">
        <f t="shared" si="3"/>
        <v>0</v>
      </c>
      <c r="E70" s="14">
        <f t="shared" si="3"/>
        <v>0</v>
      </c>
      <c r="F70" s="14">
        <f t="shared" si="3"/>
        <v>0</v>
      </c>
      <c r="G70" s="14">
        <f t="shared" si="3"/>
        <v>0</v>
      </c>
      <c r="H70" s="14">
        <f t="shared" si="3"/>
        <v>0</v>
      </c>
      <c r="I70" s="14">
        <f t="shared" si="3"/>
        <v>0</v>
      </c>
      <c r="J70" s="14">
        <f t="shared" si="3"/>
        <v>0</v>
      </c>
      <c r="K70" s="14">
        <f t="shared" si="3"/>
        <v>0</v>
      </c>
      <c r="L70" s="14">
        <f t="shared" si="3"/>
        <v>0</v>
      </c>
      <c r="M70" s="14">
        <f t="shared" si="3"/>
        <v>0</v>
      </c>
      <c r="N70" s="14">
        <f t="shared" si="3"/>
        <v>0</v>
      </c>
      <c r="O70" s="14">
        <f t="shared" si="3"/>
        <v>0</v>
      </c>
      <c r="P70" s="14">
        <f t="shared" si="3"/>
        <v>0</v>
      </c>
      <c r="Q70" s="14">
        <f t="shared" si="3"/>
        <v>0</v>
      </c>
      <c r="R70" s="14">
        <f t="shared" si="3"/>
        <v>0</v>
      </c>
      <c r="S70" s="14">
        <f t="shared" si="3"/>
        <v>0</v>
      </c>
      <c r="T70" s="14">
        <f t="shared" si="3"/>
        <v>0</v>
      </c>
      <c r="U70" s="14">
        <f t="shared" si="3"/>
        <v>0</v>
      </c>
      <c r="V70" s="14"/>
      <c r="W70" s="14"/>
    </row>
    <row r="71" spans="2:23">
      <c r="B71" s="1" t="s">
        <v>65</v>
      </c>
      <c r="C71" s="14">
        <f t="shared" ref="C71:U71" si="4">C5-C36</f>
        <v>0</v>
      </c>
      <c r="D71" s="14">
        <f t="shared" si="4"/>
        <v>0</v>
      </c>
      <c r="E71" s="14">
        <f t="shared" si="4"/>
        <v>0</v>
      </c>
      <c r="F71" s="14">
        <f t="shared" si="4"/>
        <v>0</v>
      </c>
      <c r="G71" s="14">
        <f t="shared" si="4"/>
        <v>0</v>
      </c>
      <c r="H71" s="14">
        <f t="shared" si="4"/>
        <v>0</v>
      </c>
      <c r="I71" s="14">
        <f t="shared" si="4"/>
        <v>0</v>
      </c>
      <c r="J71" s="14">
        <f t="shared" si="4"/>
        <v>0</v>
      </c>
      <c r="K71" s="14">
        <f t="shared" si="4"/>
        <v>0</v>
      </c>
      <c r="L71" s="14">
        <f t="shared" si="4"/>
        <v>0</v>
      </c>
      <c r="M71" s="14">
        <f t="shared" si="4"/>
        <v>0</v>
      </c>
      <c r="N71" s="14">
        <f t="shared" si="4"/>
        <v>0</v>
      </c>
      <c r="O71" s="14">
        <f t="shared" si="4"/>
        <v>0</v>
      </c>
      <c r="P71" s="14">
        <f t="shared" si="4"/>
        <v>0</v>
      </c>
      <c r="Q71" s="14">
        <f t="shared" si="4"/>
        <v>0</v>
      </c>
      <c r="R71" s="14">
        <f t="shared" si="4"/>
        <v>0</v>
      </c>
      <c r="S71" s="14">
        <f t="shared" si="4"/>
        <v>0</v>
      </c>
      <c r="T71" s="14">
        <f t="shared" si="4"/>
        <v>0</v>
      </c>
      <c r="U71" s="14">
        <f t="shared" si="4"/>
        <v>0</v>
      </c>
      <c r="V71" s="14"/>
      <c r="W71" s="14"/>
    </row>
    <row r="72" spans="2:23">
      <c r="B72" s="2" t="s">
        <v>10</v>
      </c>
      <c r="C72" s="14">
        <f t="shared" ref="C72:U72" si="5">C6-C37</f>
        <v>0</v>
      </c>
      <c r="D72" s="14">
        <f t="shared" si="5"/>
        <v>0</v>
      </c>
      <c r="E72" s="14">
        <f t="shared" si="5"/>
        <v>0</v>
      </c>
      <c r="F72" s="14">
        <f t="shared" si="5"/>
        <v>0</v>
      </c>
      <c r="G72" s="14">
        <f t="shared" si="5"/>
        <v>0</v>
      </c>
      <c r="H72" s="14">
        <f t="shared" si="5"/>
        <v>0</v>
      </c>
      <c r="I72" s="14">
        <f t="shared" si="5"/>
        <v>0</v>
      </c>
      <c r="J72" s="14">
        <f t="shared" si="5"/>
        <v>0</v>
      </c>
      <c r="K72" s="14">
        <f t="shared" si="5"/>
        <v>0</v>
      </c>
      <c r="L72" s="14">
        <f t="shared" si="5"/>
        <v>0</v>
      </c>
      <c r="M72" s="14">
        <f t="shared" si="5"/>
        <v>0</v>
      </c>
      <c r="N72" s="14">
        <f t="shared" si="5"/>
        <v>0</v>
      </c>
      <c r="O72" s="14">
        <f t="shared" si="5"/>
        <v>0</v>
      </c>
      <c r="P72" s="14">
        <f t="shared" si="5"/>
        <v>0</v>
      </c>
      <c r="Q72" s="14">
        <f t="shared" si="5"/>
        <v>0</v>
      </c>
      <c r="R72" s="14">
        <f t="shared" si="5"/>
        <v>0</v>
      </c>
      <c r="S72" s="14">
        <f t="shared" si="5"/>
        <v>0</v>
      </c>
      <c r="T72" s="14">
        <f t="shared" si="5"/>
        <v>0</v>
      </c>
      <c r="U72" s="14">
        <f t="shared" si="5"/>
        <v>0</v>
      </c>
      <c r="V72" s="14"/>
      <c r="W72" s="14"/>
    </row>
    <row r="73" spans="2:23">
      <c r="B73" s="2" t="s">
        <v>12</v>
      </c>
      <c r="C73" s="14">
        <f t="shared" ref="C73:U73" si="6">C7+C38</f>
        <v>0</v>
      </c>
      <c r="D73" s="14">
        <f t="shared" si="6"/>
        <v>0</v>
      </c>
      <c r="E73" s="14">
        <f t="shared" si="6"/>
        <v>0</v>
      </c>
      <c r="F73" s="14">
        <f t="shared" si="6"/>
        <v>0</v>
      </c>
      <c r="G73" s="14">
        <f t="shared" si="6"/>
        <v>0</v>
      </c>
      <c r="H73" s="14">
        <f t="shared" si="6"/>
        <v>0</v>
      </c>
      <c r="I73" s="14">
        <f t="shared" si="6"/>
        <v>0</v>
      </c>
      <c r="J73" s="14">
        <f t="shared" si="6"/>
        <v>0</v>
      </c>
      <c r="K73" s="14">
        <f t="shared" si="6"/>
        <v>0</v>
      </c>
      <c r="L73" s="14">
        <f t="shared" si="6"/>
        <v>0</v>
      </c>
      <c r="M73" s="14">
        <f t="shared" si="6"/>
        <v>0</v>
      </c>
      <c r="N73" s="14">
        <f t="shared" si="6"/>
        <v>0</v>
      </c>
      <c r="O73" s="14">
        <f t="shared" si="6"/>
        <v>0</v>
      </c>
      <c r="P73" s="14">
        <f t="shared" si="6"/>
        <v>0</v>
      </c>
      <c r="Q73" s="14">
        <f t="shared" si="6"/>
        <v>0</v>
      </c>
      <c r="R73" s="14">
        <f t="shared" si="6"/>
        <v>0</v>
      </c>
      <c r="S73" s="14">
        <f t="shared" si="6"/>
        <v>0</v>
      </c>
      <c r="T73" s="14">
        <f t="shared" si="6"/>
        <v>0</v>
      </c>
      <c r="U73" s="14">
        <f t="shared" si="6"/>
        <v>0</v>
      </c>
      <c r="V73" s="14"/>
      <c r="W73" s="14"/>
    </row>
    <row r="74" spans="2:23" ht="29.25">
      <c r="B74" s="1" t="s">
        <v>66</v>
      </c>
      <c r="C74" s="14">
        <f t="shared" ref="C74:U74" si="7">C8+C39</f>
        <v>0</v>
      </c>
      <c r="D74" s="14">
        <f t="shared" si="7"/>
        <v>0</v>
      </c>
      <c r="E74" s="14">
        <f t="shared" si="7"/>
        <v>0</v>
      </c>
      <c r="F74" s="14">
        <f t="shared" si="7"/>
        <v>0</v>
      </c>
      <c r="G74" s="14">
        <f t="shared" si="7"/>
        <v>0</v>
      </c>
      <c r="H74" s="14">
        <f t="shared" si="7"/>
        <v>0</v>
      </c>
      <c r="I74" s="14">
        <f t="shared" si="7"/>
        <v>0</v>
      </c>
      <c r="J74" s="14">
        <f t="shared" si="7"/>
        <v>0</v>
      </c>
      <c r="K74" s="14">
        <f t="shared" si="7"/>
        <v>0</v>
      </c>
      <c r="L74" s="14">
        <f t="shared" si="7"/>
        <v>0</v>
      </c>
      <c r="M74" s="14">
        <f t="shared" si="7"/>
        <v>0</v>
      </c>
      <c r="N74" s="14">
        <f t="shared" si="7"/>
        <v>0</v>
      </c>
      <c r="O74" s="14">
        <f t="shared" si="7"/>
        <v>0</v>
      </c>
      <c r="P74" s="14">
        <f t="shared" si="7"/>
        <v>0</v>
      </c>
      <c r="Q74" s="14">
        <f t="shared" si="7"/>
        <v>0</v>
      </c>
      <c r="R74" s="14">
        <f t="shared" si="7"/>
        <v>0</v>
      </c>
      <c r="S74" s="14">
        <f t="shared" si="7"/>
        <v>0</v>
      </c>
      <c r="T74" s="14">
        <f t="shared" si="7"/>
        <v>0</v>
      </c>
      <c r="U74" s="14">
        <f t="shared" si="7"/>
        <v>0</v>
      </c>
      <c r="V74" s="14"/>
      <c r="W74" s="14"/>
    </row>
    <row r="75" spans="2:23" ht="29.25">
      <c r="B75" s="1" t="s">
        <v>15</v>
      </c>
      <c r="C75" s="14">
        <f t="shared" ref="C75:U75" si="8">C9-C40</f>
        <v>0</v>
      </c>
      <c r="D75" s="14">
        <f t="shared" si="8"/>
        <v>0</v>
      </c>
      <c r="E75" s="14">
        <f t="shared" si="8"/>
        <v>0</v>
      </c>
      <c r="F75" s="14">
        <f t="shared" si="8"/>
        <v>0</v>
      </c>
      <c r="G75" s="14">
        <f t="shared" si="8"/>
        <v>0</v>
      </c>
      <c r="H75" s="14">
        <f t="shared" si="8"/>
        <v>0</v>
      </c>
      <c r="I75" s="14">
        <f t="shared" si="8"/>
        <v>0</v>
      </c>
      <c r="J75" s="14">
        <f t="shared" si="8"/>
        <v>0</v>
      </c>
      <c r="K75" s="14">
        <f t="shared" si="8"/>
        <v>0</v>
      </c>
      <c r="L75" s="14">
        <f t="shared" si="8"/>
        <v>0</v>
      </c>
      <c r="M75" s="14">
        <f t="shared" si="8"/>
        <v>0</v>
      </c>
      <c r="N75" s="14">
        <f t="shared" si="8"/>
        <v>0</v>
      </c>
      <c r="O75" s="14">
        <f t="shared" si="8"/>
        <v>0</v>
      </c>
      <c r="P75" s="14">
        <f t="shared" si="8"/>
        <v>0</v>
      </c>
      <c r="Q75" s="14">
        <f t="shared" si="8"/>
        <v>0</v>
      </c>
      <c r="R75" s="14">
        <f t="shared" si="8"/>
        <v>0</v>
      </c>
      <c r="S75" s="14">
        <f t="shared" si="8"/>
        <v>0</v>
      </c>
      <c r="T75" s="14">
        <f t="shared" si="8"/>
        <v>0</v>
      </c>
      <c r="U75" s="14">
        <f t="shared" si="8"/>
        <v>0</v>
      </c>
      <c r="V75" s="14"/>
      <c r="W75" s="14"/>
    </row>
    <row r="76" spans="2:23" s="22" customFormat="1">
      <c r="B76" s="1" t="s">
        <v>17</v>
      </c>
      <c r="C76" s="14">
        <f t="shared" ref="C76:U76" si="9">C10-C41</f>
        <v>0</v>
      </c>
      <c r="D76" s="14">
        <f t="shared" si="9"/>
        <v>0</v>
      </c>
      <c r="E76" s="14">
        <f t="shared" si="9"/>
        <v>0</v>
      </c>
      <c r="F76" s="14">
        <f t="shared" si="9"/>
        <v>0</v>
      </c>
      <c r="G76" s="14">
        <f t="shared" si="9"/>
        <v>0</v>
      </c>
      <c r="H76" s="14">
        <f t="shared" si="9"/>
        <v>0</v>
      </c>
      <c r="I76" s="14">
        <f t="shared" si="9"/>
        <v>0</v>
      </c>
      <c r="J76" s="14">
        <f t="shared" si="9"/>
        <v>0</v>
      </c>
      <c r="K76" s="14">
        <f t="shared" si="9"/>
        <v>0</v>
      </c>
      <c r="L76" s="14">
        <f t="shared" si="9"/>
        <v>0</v>
      </c>
      <c r="M76" s="14">
        <f t="shared" si="9"/>
        <v>0</v>
      </c>
      <c r="N76" s="14">
        <f t="shared" si="9"/>
        <v>0</v>
      </c>
      <c r="O76" s="14">
        <f t="shared" si="9"/>
        <v>0</v>
      </c>
      <c r="P76" s="14">
        <f t="shared" si="9"/>
        <v>0</v>
      </c>
      <c r="Q76" s="14">
        <f t="shared" si="9"/>
        <v>0</v>
      </c>
      <c r="R76" s="14">
        <f t="shared" si="9"/>
        <v>0</v>
      </c>
      <c r="S76" s="14">
        <f t="shared" si="9"/>
        <v>0</v>
      </c>
      <c r="T76" s="14">
        <f t="shared" si="9"/>
        <v>0</v>
      </c>
      <c r="U76" s="14">
        <f t="shared" si="9"/>
        <v>0</v>
      </c>
      <c r="V76" s="14"/>
      <c r="W76" s="14"/>
    </row>
    <row r="77" spans="2:23" s="22" customFormat="1">
      <c r="B77" s="1" t="s">
        <v>19</v>
      </c>
      <c r="C77" s="14">
        <f t="shared" ref="C77:U77" si="10">C11-C42</f>
        <v>0</v>
      </c>
      <c r="D77" s="14">
        <f t="shared" si="10"/>
        <v>0</v>
      </c>
      <c r="E77" s="14">
        <f t="shared" si="10"/>
        <v>0</v>
      </c>
      <c r="F77" s="14">
        <f t="shared" si="10"/>
        <v>0</v>
      </c>
      <c r="G77" s="14">
        <f t="shared" si="10"/>
        <v>0</v>
      </c>
      <c r="H77" s="14">
        <f t="shared" si="10"/>
        <v>0</v>
      </c>
      <c r="I77" s="14">
        <f t="shared" si="10"/>
        <v>0</v>
      </c>
      <c r="J77" s="14">
        <f t="shared" si="10"/>
        <v>0</v>
      </c>
      <c r="K77" s="14">
        <f t="shared" si="10"/>
        <v>0</v>
      </c>
      <c r="L77" s="14">
        <f t="shared" si="10"/>
        <v>0</v>
      </c>
      <c r="M77" s="14">
        <f t="shared" si="10"/>
        <v>0</v>
      </c>
      <c r="N77" s="14">
        <f t="shared" si="10"/>
        <v>0</v>
      </c>
      <c r="O77" s="14">
        <f t="shared" si="10"/>
        <v>0</v>
      </c>
      <c r="P77" s="14">
        <f t="shared" si="10"/>
        <v>0</v>
      </c>
      <c r="Q77" s="14">
        <f t="shared" si="10"/>
        <v>0</v>
      </c>
      <c r="R77" s="14">
        <f t="shared" si="10"/>
        <v>0</v>
      </c>
      <c r="S77" s="14">
        <f t="shared" si="10"/>
        <v>0</v>
      </c>
      <c r="T77" s="14">
        <f t="shared" si="10"/>
        <v>0</v>
      </c>
      <c r="U77" s="14">
        <f t="shared" si="10"/>
        <v>0</v>
      </c>
      <c r="V77" s="14"/>
      <c r="W77" s="14"/>
    </row>
    <row r="78" spans="2:23" ht="29.25">
      <c r="B78" s="1" t="s">
        <v>67</v>
      </c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</row>
    <row r="79" spans="2:23">
      <c r="B79" s="2" t="s">
        <v>68</v>
      </c>
      <c r="C79" s="14">
        <f t="shared" ref="C79:U79" si="11">C13-C44</f>
        <v>0</v>
      </c>
      <c r="D79" s="14">
        <f t="shared" si="11"/>
        <v>0</v>
      </c>
      <c r="E79" s="14">
        <f t="shared" si="11"/>
        <v>0</v>
      </c>
      <c r="F79" s="14">
        <f t="shared" si="11"/>
        <v>0</v>
      </c>
      <c r="G79" s="14">
        <f t="shared" si="11"/>
        <v>0</v>
      </c>
      <c r="H79" s="14">
        <f t="shared" si="11"/>
        <v>0</v>
      </c>
      <c r="I79" s="14">
        <f t="shared" si="11"/>
        <v>0</v>
      </c>
      <c r="J79" s="14">
        <f t="shared" si="11"/>
        <v>0</v>
      </c>
      <c r="K79" s="14">
        <f t="shared" si="11"/>
        <v>0</v>
      </c>
      <c r="L79" s="14">
        <f t="shared" si="11"/>
        <v>0</v>
      </c>
      <c r="M79" s="14">
        <f t="shared" si="11"/>
        <v>0</v>
      </c>
      <c r="N79" s="14">
        <f t="shared" si="11"/>
        <v>0</v>
      </c>
      <c r="O79" s="14">
        <f t="shared" si="11"/>
        <v>0</v>
      </c>
      <c r="P79" s="14">
        <f t="shared" si="11"/>
        <v>0</v>
      </c>
      <c r="Q79" s="14">
        <f t="shared" si="11"/>
        <v>0</v>
      </c>
      <c r="R79" s="14">
        <f t="shared" si="11"/>
        <v>0</v>
      </c>
      <c r="S79" s="14">
        <f t="shared" si="11"/>
        <v>0</v>
      </c>
      <c r="T79" s="14">
        <f t="shared" si="11"/>
        <v>0</v>
      </c>
      <c r="U79" s="14">
        <f t="shared" si="11"/>
        <v>0</v>
      </c>
      <c r="V79" s="14"/>
      <c r="W79" s="14"/>
    </row>
    <row r="80" spans="2:23">
      <c r="B80" s="1" t="s">
        <v>69</v>
      </c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</row>
    <row r="81" spans="2:23">
      <c r="B81" s="2" t="s">
        <v>70</v>
      </c>
      <c r="C81" s="14">
        <f t="shared" ref="C81:U81" si="12">C15-C46</f>
        <v>0</v>
      </c>
      <c r="D81" s="14">
        <f t="shared" si="12"/>
        <v>0</v>
      </c>
      <c r="E81" s="14">
        <f t="shared" si="12"/>
        <v>0</v>
      </c>
      <c r="F81" s="14">
        <f t="shared" si="12"/>
        <v>0</v>
      </c>
      <c r="G81" s="14">
        <f t="shared" si="12"/>
        <v>0</v>
      </c>
      <c r="H81" s="14">
        <f t="shared" si="12"/>
        <v>0</v>
      </c>
      <c r="I81" s="14">
        <f t="shared" si="12"/>
        <v>0</v>
      </c>
      <c r="J81" s="14">
        <f t="shared" si="12"/>
        <v>0</v>
      </c>
      <c r="K81" s="14">
        <f t="shared" si="12"/>
        <v>0</v>
      </c>
      <c r="L81" s="14">
        <f t="shared" si="12"/>
        <v>0</v>
      </c>
      <c r="M81" s="14">
        <f t="shared" si="12"/>
        <v>0</v>
      </c>
      <c r="N81" s="14">
        <f t="shared" si="12"/>
        <v>0</v>
      </c>
      <c r="O81" s="14">
        <f t="shared" si="12"/>
        <v>0</v>
      </c>
      <c r="P81" s="14">
        <f t="shared" si="12"/>
        <v>0</v>
      </c>
      <c r="Q81" s="14">
        <f t="shared" si="12"/>
        <v>0</v>
      </c>
      <c r="R81" s="14">
        <f t="shared" si="12"/>
        <v>0</v>
      </c>
      <c r="S81" s="14">
        <f t="shared" si="12"/>
        <v>0</v>
      </c>
      <c r="T81" s="14">
        <f t="shared" si="12"/>
        <v>0</v>
      </c>
      <c r="U81" s="14">
        <f t="shared" si="12"/>
        <v>0</v>
      </c>
      <c r="V81" s="14"/>
      <c r="W81" s="14"/>
    </row>
    <row r="82" spans="2:23">
      <c r="B82" s="2" t="s">
        <v>71</v>
      </c>
      <c r="C82" s="14">
        <f t="shared" ref="C82:U82" si="13">C16-C47</f>
        <v>0</v>
      </c>
      <c r="D82" s="14">
        <f t="shared" si="13"/>
        <v>0</v>
      </c>
      <c r="E82" s="14">
        <f t="shared" si="13"/>
        <v>0</v>
      </c>
      <c r="F82" s="14">
        <f t="shared" si="13"/>
        <v>0</v>
      </c>
      <c r="G82" s="14">
        <f t="shared" si="13"/>
        <v>0</v>
      </c>
      <c r="H82" s="14">
        <f t="shared" si="13"/>
        <v>0</v>
      </c>
      <c r="I82" s="14">
        <f t="shared" si="13"/>
        <v>0</v>
      </c>
      <c r="J82" s="14">
        <f t="shared" si="13"/>
        <v>0</v>
      </c>
      <c r="K82" s="14">
        <f t="shared" si="13"/>
        <v>0</v>
      </c>
      <c r="L82" s="14">
        <f t="shared" si="13"/>
        <v>0</v>
      </c>
      <c r="M82" s="14">
        <f t="shared" si="13"/>
        <v>0</v>
      </c>
      <c r="N82" s="14">
        <f t="shared" si="13"/>
        <v>0</v>
      </c>
      <c r="O82" s="14">
        <f t="shared" si="13"/>
        <v>0</v>
      </c>
      <c r="P82" s="14">
        <f t="shared" si="13"/>
        <v>0</v>
      </c>
      <c r="Q82" s="14">
        <f t="shared" si="13"/>
        <v>0</v>
      </c>
      <c r="R82" s="14">
        <f t="shared" si="13"/>
        <v>0</v>
      </c>
      <c r="S82" s="14">
        <f t="shared" si="13"/>
        <v>0</v>
      </c>
      <c r="T82" s="14">
        <f t="shared" si="13"/>
        <v>0</v>
      </c>
      <c r="U82" s="14">
        <f t="shared" si="13"/>
        <v>0</v>
      </c>
      <c r="V82" s="14"/>
      <c r="W82" s="14"/>
    </row>
    <row r="83" spans="2:23" ht="30">
      <c r="B83" s="2" t="s">
        <v>26</v>
      </c>
      <c r="C83" s="14">
        <f t="shared" ref="C83:U83" si="14">C17-C48</f>
        <v>0</v>
      </c>
      <c r="D83" s="14">
        <f t="shared" si="14"/>
        <v>0</v>
      </c>
      <c r="E83" s="14">
        <f t="shared" si="14"/>
        <v>0</v>
      </c>
      <c r="F83" s="14">
        <f t="shared" si="14"/>
        <v>0</v>
      </c>
      <c r="G83" s="14">
        <f t="shared" si="14"/>
        <v>0</v>
      </c>
      <c r="H83" s="14">
        <f t="shared" si="14"/>
        <v>0</v>
      </c>
      <c r="I83" s="14">
        <f t="shared" si="14"/>
        <v>0</v>
      </c>
      <c r="J83" s="14">
        <f t="shared" si="14"/>
        <v>0</v>
      </c>
      <c r="K83" s="14">
        <f t="shared" si="14"/>
        <v>0</v>
      </c>
      <c r="L83" s="14">
        <f t="shared" si="14"/>
        <v>0</v>
      </c>
      <c r="M83" s="14">
        <f t="shared" si="14"/>
        <v>0</v>
      </c>
      <c r="N83" s="14">
        <f t="shared" si="14"/>
        <v>0</v>
      </c>
      <c r="O83" s="14">
        <f t="shared" si="14"/>
        <v>0</v>
      </c>
      <c r="P83" s="14">
        <f t="shared" si="14"/>
        <v>0</v>
      </c>
      <c r="Q83" s="14">
        <f t="shared" si="14"/>
        <v>0</v>
      </c>
      <c r="R83" s="14">
        <f t="shared" si="14"/>
        <v>0</v>
      </c>
      <c r="S83" s="14">
        <f t="shared" si="14"/>
        <v>0</v>
      </c>
      <c r="T83" s="14">
        <f t="shared" si="14"/>
        <v>0</v>
      </c>
      <c r="U83" s="14">
        <f t="shared" si="14"/>
        <v>0</v>
      </c>
      <c r="V83" s="14"/>
      <c r="W83" s="14"/>
    </row>
    <row r="84" spans="2:23">
      <c r="B84" s="2" t="s">
        <v>28</v>
      </c>
      <c r="C84" s="14">
        <f t="shared" ref="C84:U84" si="15">C18-C49</f>
        <v>0</v>
      </c>
      <c r="D84" s="14">
        <f t="shared" si="15"/>
        <v>0</v>
      </c>
      <c r="E84" s="14">
        <f t="shared" si="15"/>
        <v>0</v>
      </c>
      <c r="F84" s="14">
        <f t="shared" si="15"/>
        <v>0</v>
      </c>
      <c r="G84" s="14">
        <f t="shared" si="15"/>
        <v>0</v>
      </c>
      <c r="H84" s="14">
        <f t="shared" si="15"/>
        <v>0</v>
      </c>
      <c r="I84" s="14">
        <f t="shared" si="15"/>
        <v>0</v>
      </c>
      <c r="J84" s="14">
        <f t="shared" si="15"/>
        <v>0</v>
      </c>
      <c r="K84" s="14">
        <f t="shared" si="15"/>
        <v>0</v>
      </c>
      <c r="L84" s="14">
        <f t="shared" si="15"/>
        <v>0</v>
      </c>
      <c r="M84" s="14">
        <f t="shared" si="15"/>
        <v>0</v>
      </c>
      <c r="N84" s="14">
        <f t="shared" si="15"/>
        <v>0</v>
      </c>
      <c r="O84" s="14">
        <f t="shared" si="15"/>
        <v>0</v>
      </c>
      <c r="P84" s="14">
        <f t="shared" si="15"/>
        <v>0</v>
      </c>
      <c r="Q84" s="14">
        <f t="shared" si="15"/>
        <v>0</v>
      </c>
      <c r="R84" s="14">
        <f t="shared" si="15"/>
        <v>0</v>
      </c>
      <c r="S84" s="14">
        <f t="shared" si="15"/>
        <v>0</v>
      </c>
      <c r="T84" s="14">
        <f t="shared" si="15"/>
        <v>0</v>
      </c>
      <c r="U84" s="14">
        <f t="shared" si="15"/>
        <v>0</v>
      </c>
      <c r="V84" s="14"/>
      <c r="W84" s="14"/>
    </row>
    <row r="85" spans="2:23">
      <c r="B85" s="2" t="s">
        <v>30</v>
      </c>
      <c r="C85" s="14">
        <f t="shared" ref="C85:U85" si="16">C19-C50</f>
        <v>0</v>
      </c>
      <c r="D85" s="14">
        <f t="shared" si="16"/>
        <v>0</v>
      </c>
      <c r="E85" s="14">
        <f t="shared" si="16"/>
        <v>0</v>
      </c>
      <c r="F85" s="14">
        <f t="shared" si="16"/>
        <v>0</v>
      </c>
      <c r="G85" s="14">
        <f t="shared" si="16"/>
        <v>0</v>
      </c>
      <c r="H85" s="14">
        <f t="shared" si="16"/>
        <v>0</v>
      </c>
      <c r="I85" s="14">
        <f t="shared" si="16"/>
        <v>0</v>
      </c>
      <c r="J85" s="14">
        <f t="shared" si="16"/>
        <v>0</v>
      </c>
      <c r="K85" s="14">
        <f t="shared" si="16"/>
        <v>0</v>
      </c>
      <c r="L85" s="14">
        <f t="shared" si="16"/>
        <v>0</v>
      </c>
      <c r="M85" s="14">
        <f t="shared" si="16"/>
        <v>0</v>
      </c>
      <c r="N85" s="14">
        <f t="shared" si="16"/>
        <v>0</v>
      </c>
      <c r="O85" s="14">
        <f t="shared" si="16"/>
        <v>0</v>
      </c>
      <c r="P85" s="14">
        <f t="shared" si="16"/>
        <v>0</v>
      </c>
      <c r="Q85" s="14">
        <f t="shared" si="16"/>
        <v>0</v>
      </c>
      <c r="R85" s="14">
        <f t="shared" si="16"/>
        <v>0</v>
      </c>
      <c r="S85" s="14">
        <f t="shared" si="16"/>
        <v>0</v>
      </c>
      <c r="T85" s="14">
        <f t="shared" si="16"/>
        <v>0</v>
      </c>
      <c r="U85" s="14">
        <f t="shared" si="16"/>
        <v>0</v>
      </c>
      <c r="V85" s="14"/>
      <c r="W85" s="14"/>
    </row>
    <row r="86" spans="2:23" ht="30">
      <c r="B86" s="2" t="s">
        <v>72</v>
      </c>
      <c r="C86" s="14">
        <f t="shared" ref="C86:U86" si="17">C20-C51</f>
        <v>0</v>
      </c>
      <c r="D86" s="14">
        <f t="shared" si="17"/>
        <v>0</v>
      </c>
      <c r="E86" s="14">
        <f t="shared" si="17"/>
        <v>0</v>
      </c>
      <c r="F86" s="14">
        <f t="shared" si="17"/>
        <v>0</v>
      </c>
      <c r="G86" s="14">
        <f t="shared" si="17"/>
        <v>0</v>
      </c>
      <c r="H86" s="14">
        <f t="shared" si="17"/>
        <v>0</v>
      </c>
      <c r="I86" s="14">
        <f t="shared" si="17"/>
        <v>0</v>
      </c>
      <c r="J86" s="14">
        <f t="shared" si="17"/>
        <v>0</v>
      </c>
      <c r="K86" s="14">
        <f t="shared" si="17"/>
        <v>0</v>
      </c>
      <c r="L86" s="14">
        <f t="shared" si="17"/>
        <v>0</v>
      </c>
      <c r="M86" s="14">
        <f t="shared" si="17"/>
        <v>0</v>
      </c>
      <c r="N86" s="14">
        <f t="shared" si="17"/>
        <v>0</v>
      </c>
      <c r="O86" s="14">
        <f t="shared" si="17"/>
        <v>0</v>
      </c>
      <c r="P86" s="14">
        <f t="shared" si="17"/>
        <v>0</v>
      </c>
      <c r="Q86" s="14">
        <f t="shared" si="17"/>
        <v>0</v>
      </c>
      <c r="R86" s="14">
        <f t="shared" si="17"/>
        <v>0</v>
      </c>
      <c r="S86" s="14">
        <f t="shared" si="17"/>
        <v>0</v>
      </c>
      <c r="T86" s="14">
        <f t="shared" si="17"/>
        <v>0</v>
      </c>
      <c r="U86" s="14">
        <f t="shared" si="17"/>
        <v>0</v>
      </c>
      <c r="V86" s="14"/>
      <c r="W86" s="14"/>
    </row>
    <row r="87" spans="2:23" ht="30">
      <c r="B87" s="2" t="s">
        <v>33</v>
      </c>
      <c r="C87" s="14">
        <f t="shared" ref="C87:U87" si="18">C21-C52</f>
        <v>0</v>
      </c>
      <c r="D87" s="14">
        <f t="shared" si="18"/>
        <v>0</v>
      </c>
      <c r="E87" s="14">
        <f t="shared" si="18"/>
        <v>0</v>
      </c>
      <c r="F87" s="14">
        <f t="shared" si="18"/>
        <v>0</v>
      </c>
      <c r="G87" s="14">
        <f t="shared" si="18"/>
        <v>0</v>
      </c>
      <c r="H87" s="14">
        <f t="shared" si="18"/>
        <v>0</v>
      </c>
      <c r="I87" s="14">
        <f t="shared" si="18"/>
        <v>0</v>
      </c>
      <c r="J87" s="14">
        <f t="shared" si="18"/>
        <v>0</v>
      </c>
      <c r="K87" s="14">
        <f t="shared" si="18"/>
        <v>0</v>
      </c>
      <c r="L87" s="14">
        <f t="shared" si="18"/>
        <v>0</v>
      </c>
      <c r="M87" s="14">
        <f t="shared" si="18"/>
        <v>0</v>
      </c>
      <c r="N87" s="14">
        <f t="shared" si="18"/>
        <v>0</v>
      </c>
      <c r="O87" s="14">
        <f t="shared" si="18"/>
        <v>0</v>
      </c>
      <c r="P87" s="14">
        <f t="shared" si="18"/>
        <v>0</v>
      </c>
      <c r="Q87" s="14">
        <f t="shared" si="18"/>
        <v>0</v>
      </c>
      <c r="R87" s="14">
        <f t="shared" si="18"/>
        <v>0</v>
      </c>
      <c r="S87" s="14">
        <f t="shared" si="18"/>
        <v>0</v>
      </c>
      <c r="T87" s="14">
        <f t="shared" si="18"/>
        <v>0</v>
      </c>
      <c r="U87" s="14">
        <f t="shared" si="18"/>
        <v>0</v>
      </c>
      <c r="V87" s="14"/>
      <c r="W87" s="14"/>
    </row>
    <row r="88" spans="2:23" s="22" customFormat="1">
      <c r="B88" s="2" t="s">
        <v>35</v>
      </c>
      <c r="C88" s="14">
        <f t="shared" ref="C88:U88" si="19">C23-C53</f>
        <v>0</v>
      </c>
      <c r="D88" s="14">
        <f t="shared" si="19"/>
        <v>0</v>
      </c>
      <c r="E88" s="14">
        <f t="shared" si="19"/>
        <v>0</v>
      </c>
      <c r="F88" s="14">
        <f t="shared" si="19"/>
        <v>0</v>
      </c>
      <c r="G88" s="14">
        <f t="shared" si="19"/>
        <v>0</v>
      </c>
      <c r="H88" s="14">
        <f t="shared" si="19"/>
        <v>0</v>
      </c>
      <c r="I88" s="14">
        <f t="shared" si="19"/>
        <v>0</v>
      </c>
      <c r="J88" s="14">
        <f t="shared" si="19"/>
        <v>0</v>
      </c>
      <c r="K88" s="14">
        <f t="shared" si="19"/>
        <v>0</v>
      </c>
      <c r="L88" s="14">
        <f t="shared" si="19"/>
        <v>0</v>
      </c>
      <c r="M88" s="14">
        <f t="shared" si="19"/>
        <v>0</v>
      </c>
      <c r="N88" s="14">
        <f t="shared" si="19"/>
        <v>0</v>
      </c>
      <c r="O88" s="14">
        <f t="shared" si="19"/>
        <v>0</v>
      </c>
      <c r="P88" s="14">
        <f t="shared" si="19"/>
        <v>0</v>
      </c>
      <c r="Q88" s="14">
        <f t="shared" si="19"/>
        <v>0</v>
      </c>
      <c r="R88" s="14">
        <f t="shared" si="19"/>
        <v>0</v>
      </c>
      <c r="S88" s="14">
        <f t="shared" si="19"/>
        <v>0</v>
      </c>
      <c r="T88" s="14">
        <f t="shared" si="19"/>
        <v>0</v>
      </c>
      <c r="U88" s="14">
        <f t="shared" si="19"/>
        <v>0</v>
      </c>
      <c r="V88" s="14"/>
      <c r="W88" s="14"/>
    </row>
    <row r="89" spans="2:23" ht="30">
      <c r="B89" s="2" t="s">
        <v>37</v>
      </c>
      <c r="C89" s="14">
        <f t="shared" ref="C89:U89" si="20">C24-C54</f>
        <v>0</v>
      </c>
      <c r="D89" s="14">
        <f t="shared" si="20"/>
        <v>0</v>
      </c>
      <c r="E89" s="14">
        <f t="shared" si="20"/>
        <v>0</v>
      </c>
      <c r="F89" s="14">
        <f t="shared" si="20"/>
        <v>0</v>
      </c>
      <c r="G89" s="14">
        <f t="shared" si="20"/>
        <v>0</v>
      </c>
      <c r="H89" s="14">
        <f t="shared" si="20"/>
        <v>0</v>
      </c>
      <c r="I89" s="14">
        <f t="shared" si="20"/>
        <v>0</v>
      </c>
      <c r="J89" s="14">
        <f t="shared" si="20"/>
        <v>0</v>
      </c>
      <c r="K89" s="14">
        <f t="shared" si="20"/>
        <v>0</v>
      </c>
      <c r="L89" s="14">
        <f t="shared" si="20"/>
        <v>0</v>
      </c>
      <c r="M89" s="14">
        <f t="shared" si="20"/>
        <v>0</v>
      </c>
      <c r="N89" s="14">
        <f t="shared" si="20"/>
        <v>0</v>
      </c>
      <c r="O89" s="14">
        <f t="shared" si="20"/>
        <v>0</v>
      </c>
      <c r="P89" s="14">
        <f t="shared" si="20"/>
        <v>0</v>
      </c>
      <c r="Q89" s="14">
        <f t="shared" si="20"/>
        <v>0</v>
      </c>
      <c r="R89" s="14">
        <f t="shared" si="20"/>
        <v>0</v>
      </c>
      <c r="S89" s="14">
        <f t="shared" si="20"/>
        <v>0</v>
      </c>
      <c r="T89" s="14">
        <f t="shared" si="20"/>
        <v>0</v>
      </c>
      <c r="U89" s="14">
        <f t="shared" si="20"/>
        <v>0</v>
      </c>
      <c r="V89" s="14"/>
      <c r="W89" s="14"/>
    </row>
    <row r="90" spans="2:23">
      <c r="B90" s="2" t="s">
        <v>39</v>
      </c>
      <c r="C90" s="14">
        <f t="shared" ref="C90:U90" si="21">C25-C55</f>
        <v>0</v>
      </c>
      <c r="D90" s="14">
        <f t="shared" si="21"/>
        <v>0</v>
      </c>
      <c r="E90" s="14">
        <f t="shared" si="21"/>
        <v>0</v>
      </c>
      <c r="F90" s="14">
        <f t="shared" si="21"/>
        <v>0</v>
      </c>
      <c r="G90" s="14">
        <f t="shared" si="21"/>
        <v>0</v>
      </c>
      <c r="H90" s="14">
        <f t="shared" si="21"/>
        <v>0</v>
      </c>
      <c r="I90" s="14">
        <f t="shared" si="21"/>
        <v>0</v>
      </c>
      <c r="J90" s="14">
        <f t="shared" si="21"/>
        <v>0</v>
      </c>
      <c r="K90" s="14">
        <f t="shared" si="21"/>
        <v>0</v>
      </c>
      <c r="L90" s="14">
        <f t="shared" si="21"/>
        <v>0</v>
      </c>
      <c r="M90" s="14">
        <f t="shared" si="21"/>
        <v>0</v>
      </c>
      <c r="N90" s="14">
        <f t="shared" si="21"/>
        <v>0</v>
      </c>
      <c r="O90" s="14">
        <f t="shared" si="21"/>
        <v>0</v>
      </c>
      <c r="P90" s="14">
        <f t="shared" si="21"/>
        <v>0</v>
      </c>
      <c r="Q90" s="14">
        <f t="shared" si="21"/>
        <v>0</v>
      </c>
      <c r="R90" s="14">
        <f t="shared" si="21"/>
        <v>0</v>
      </c>
      <c r="S90" s="14">
        <f t="shared" si="21"/>
        <v>0</v>
      </c>
      <c r="T90" s="14">
        <f t="shared" si="21"/>
        <v>0</v>
      </c>
      <c r="U90" s="14">
        <f t="shared" si="21"/>
        <v>0</v>
      </c>
      <c r="V90" s="14"/>
      <c r="W90" s="14"/>
    </row>
    <row r="91" spans="2:23" s="22" customFormat="1">
      <c r="B91" s="1" t="s">
        <v>41</v>
      </c>
      <c r="C91" s="14">
        <f t="shared" ref="C91:U91" si="22">C22-C56</f>
        <v>0</v>
      </c>
      <c r="D91" s="14">
        <f t="shared" si="22"/>
        <v>0</v>
      </c>
      <c r="E91" s="14">
        <f t="shared" si="22"/>
        <v>0</v>
      </c>
      <c r="F91" s="14">
        <f t="shared" si="22"/>
        <v>0</v>
      </c>
      <c r="G91" s="14">
        <f t="shared" si="22"/>
        <v>0</v>
      </c>
      <c r="H91" s="14">
        <f t="shared" si="22"/>
        <v>0</v>
      </c>
      <c r="I91" s="14">
        <f t="shared" si="22"/>
        <v>0</v>
      </c>
      <c r="J91" s="14">
        <f t="shared" si="22"/>
        <v>0</v>
      </c>
      <c r="K91" s="14">
        <f t="shared" si="22"/>
        <v>0</v>
      </c>
      <c r="L91" s="14">
        <f t="shared" si="22"/>
        <v>0</v>
      </c>
      <c r="M91" s="14">
        <f t="shared" si="22"/>
        <v>0</v>
      </c>
      <c r="N91" s="14">
        <f t="shared" si="22"/>
        <v>0</v>
      </c>
      <c r="O91" s="14">
        <f t="shared" si="22"/>
        <v>0</v>
      </c>
      <c r="P91" s="14">
        <f t="shared" si="22"/>
        <v>0</v>
      </c>
      <c r="Q91" s="14">
        <f t="shared" si="22"/>
        <v>0</v>
      </c>
      <c r="R91" s="14">
        <f t="shared" si="22"/>
        <v>0</v>
      </c>
      <c r="S91" s="14">
        <f t="shared" si="22"/>
        <v>0</v>
      </c>
      <c r="T91" s="14">
        <f t="shared" si="22"/>
        <v>0</v>
      </c>
      <c r="U91" s="14">
        <f t="shared" si="22"/>
        <v>0</v>
      </c>
      <c r="V91" s="14"/>
      <c r="W91" s="14"/>
    </row>
    <row r="92" spans="2:23">
      <c r="B92" s="1" t="s">
        <v>59</v>
      </c>
      <c r="C92" s="14">
        <f t="shared" ref="C92:U92" si="23">C26-C57</f>
        <v>0</v>
      </c>
      <c r="D92" s="14">
        <f t="shared" si="23"/>
        <v>0</v>
      </c>
      <c r="E92" s="14">
        <f t="shared" si="23"/>
        <v>0</v>
      </c>
      <c r="F92" s="14">
        <f t="shared" si="23"/>
        <v>0</v>
      </c>
      <c r="G92" s="14">
        <f t="shared" si="23"/>
        <v>0</v>
      </c>
      <c r="H92" s="14">
        <f t="shared" si="23"/>
        <v>0</v>
      </c>
      <c r="I92" s="14">
        <f t="shared" si="23"/>
        <v>0</v>
      </c>
      <c r="J92" s="14">
        <f t="shared" si="23"/>
        <v>0</v>
      </c>
      <c r="K92" s="14">
        <f t="shared" si="23"/>
        <v>0</v>
      </c>
      <c r="L92" s="14">
        <f t="shared" si="23"/>
        <v>0</v>
      </c>
      <c r="M92" s="14">
        <f t="shared" si="23"/>
        <v>0</v>
      </c>
      <c r="N92" s="14">
        <f t="shared" si="23"/>
        <v>0</v>
      </c>
      <c r="O92" s="14">
        <f t="shared" si="23"/>
        <v>0</v>
      </c>
      <c r="P92" s="14">
        <f t="shared" si="23"/>
        <v>0</v>
      </c>
      <c r="Q92" s="14">
        <f t="shared" si="23"/>
        <v>0</v>
      </c>
      <c r="R92" s="14">
        <f t="shared" si="23"/>
        <v>0</v>
      </c>
      <c r="S92" s="14">
        <f t="shared" si="23"/>
        <v>0</v>
      </c>
      <c r="T92" s="14">
        <f t="shared" si="23"/>
        <v>0</v>
      </c>
      <c r="U92" s="14">
        <f t="shared" si="23"/>
        <v>0</v>
      </c>
      <c r="V92" s="14"/>
      <c r="W92" s="14"/>
    </row>
    <row r="93" spans="2:23">
      <c r="B93" s="2" t="s">
        <v>44</v>
      </c>
      <c r="C93" s="14">
        <f t="shared" ref="C93:U93" si="24">C27-C58</f>
        <v>0</v>
      </c>
      <c r="D93" s="14">
        <f t="shared" si="24"/>
        <v>0</v>
      </c>
      <c r="E93" s="14">
        <f t="shared" si="24"/>
        <v>0</v>
      </c>
      <c r="F93" s="14">
        <f t="shared" si="24"/>
        <v>0</v>
      </c>
      <c r="G93" s="14">
        <f t="shared" si="24"/>
        <v>0</v>
      </c>
      <c r="H93" s="14">
        <f t="shared" si="24"/>
        <v>0</v>
      </c>
      <c r="I93" s="14">
        <f t="shared" si="24"/>
        <v>0</v>
      </c>
      <c r="J93" s="14">
        <f t="shared" si="24"/>
        <v>0</v>
      </c>
      <c r="K93" s="14">
        <f t="shared" si="24"/>
        <v>0</v>
      </c>
      <c r="L93" s="14">
        <f t="shared" si="24"/>
        <v>0</v>
      </c>
      <c r="M93" s="14">
        <f t="shared" si="24"/>
        <v>0</v>
      </c>
      <c r="N93" s="14">
        <f t="shared" si="24"/>
        <v>0</v>
      </c>
      <c r="O93" s="14">
        <f t="shared" si="24"/>
        <v>0</v>
      </c>
      <c r="P93" s="14">
        <f t="shared" si="24"/>
        <v>0</v>
      </c>
      <c r="Q93" s="14">
        <f t="shared" si="24"/>
        <v>0</v>
      </c>
      <c r="R93" s="14">
        <f t="shared" si="24"/>
        <v>0</v>
      </c>
      <c r="S93" s="14">
        <f t="shared" si="24"/>
        <v>0</v>
      </c>
      <c r="T93" s="14">
        <f t="shared" si="24"/>
        <v>0</v>
      </c>
      <c r="U93" s="14">
        <f t="shared" si="24"/>
        <v>0</v>
      </c>
      <c r="V93" s="14"/>
      <c r="W93" s="14"/>
    </row>
    <row r="94" spans="2:23" s="22" customFormat="1">
      <c r="B94" s="2" t="s">
        <v>73</v>
      </c>
      <c r="C94" s="14">
        <f t="shared" ref="C94:U94" si="25">C28-C59</f>
        <v>0</v>
      </c>
      <c r="D94" s="14">
        <f t="shared" si="25"/>
        <v>0</v>
      </c>
      <c r="E94" s="14">
        <f t="shared" si="25"/>
        <v>0</v>
      </c>
      <c r="F94" s="14">
        <f t="shared" si="25"/>
        <v>0</v>
      </c>
      <c r="G94" s="14">
        <f t="shared" si="25"/>
        <v>0</v>
      </c>
      <c r="H94" s="14">
        <f t="shared" si="25"/>
        <v>0</v>
      </c>
      <c r="I94" s="14">
        <f t="shared" si="25"/>
        <v>0</v>
      </c>
      <c r="J94" s="14">
        <f t="shared" si="25"/>
        <v>0</v>
      </c>
      <c r="K94" s="14">
        <f t="shared" si="25"/>
        <v>0</v>
      </c>
      <c r="L94" s="14">
        <f t="shared" si="25"/>
        <v>0</v>
      </c>
      <c r="M94" s="14">
        <f t="shared" si="25"/>
        <v>0</v>
      </c>
      <c r="N94" s="14">
        <f t="shared" si="25"/>
        <v>0</v>
      </c>
      <c r="O94" s="14">
        <f t="shared" si="25"/>
        <v>0</v>
      </c>
      <c r="P94" s="14">
        <f t="shared" si="25"/>
        <v>0</v>
      </c>
      <c r="Q94" s="14">
        <f t="shared" si="25"/>
        <v>0</v>
      </c>
      <c r="R94" s="14">
        <f t="shared" si="25"/>
        <v>0</v>
      </c>
      <c r="S94" s="14">
        <f t="shared" si="25"/>
        <v>0</v>
      </c>
      <c r="T94" s="14">
        <f t="shared" si="25"/>
        <v>0</v>
      </c>
      <c r="U94" s="14">
        <f t="shared" si="25"/>
        <v>0</v>
      </c>
      <c r="V94" s="14"/>
      <c r="W94" s="14"/>
    </row>
    <row r="95" spans="2:23" s="22" customFormat="1">
      <c r="B95" s="9" t="s">
        <v>61</v>
      </c>
      <c r="C95" s="10">
        <f t="shared" ref="C95:U95" si="26">C29-C60</f>
        <v>0</v>
      </c>
      <c r="D95" s="10">
        <f t="shared" si="26"/>
        <v>0</v>
      </c>
      <c r="E95" s="10">
        <f t="shared" si="26"/>
        <v>0</v>
      </c>
      <c r="F95" s="10">
        <f t="shared" si="26"/>
        <v>0</v>
      </c>
      <c r="G95" s="10">
        <f t="shared" si="26"/>
        <v>0</v>
      </c>
      <c r="H95" s="10">
        <f t="shared" si="26"/>
        <v>0</v>
      </c>
      <c r="I95" s="10">
        <f t="shared" si="26"/>
        <v>0</v>
      </c>
      <c r="J95" s="10">
        <f t="shared" si="26"/>
        <v>0</v>
      </c>
      <c r="K95" s="10">
        <f t="shared" si="26"/>
        <v>0</v>
      </c>
      <c r="L95" s="10">
        <f t="shared" si="26"/>
        <v>0</v>
      </c>
      <c r="M95" s="10">
        <f t="shared" si="26"/>
        <v>0</v>
      </c>
      <c r="N95" s="10">
        <f t="shared" si="26"/>
        <v>0</v>
      </c>
      <c r="O95" s="10">
        <f t="shared" si="26"/>
        <v>0</v>
      </c>
      <c r="P95" s="10">
        <f t="shared" si="26"/>
        <v>0</v>
      </c>
      <c r="Q95" s="10">
        <f t="shared" si="26"/>
        <v>0</v>
      </c>
      <c r="R95" s="10">
        <f t="shared" si="26"/>
        <v>0</v>
      </c>
      <c r="S95" s="10">
        <f t="shared" si="26"/>
        <v>0</v>
      </c>
      <c r="T95" s="10">
        <f t="shared" si="26"/>
        <v>0</v>
      </c>
      <c r="U95" s="10">
        <f t="shared" si="26"/>
        <v>0</v>
      </c>
      <c r="V95" s="10"/>
      <c r="W95" s="10"/>
    </row>
  </sheetData>
  <conditionalFormatting sqref="C68:W95">
    <cfRule type="cellIs" dxfId="14" priority="7" operator="notEqual">
      <formula>0</formula>
    </cfRule>
  </conditionalFormatting>
  <conditionalFormatting sqref="C69:W95">
    <cfRule type="cellIs" dxfId="13" priority="5" operator="notEqual">
      <formula>0</formula>
    </cfRule>
    <cfRule type="cellIs" dxfId="12" priority="6" operator="notEqual">
      <formula>0</formula>
    </cfRule>
  </conditionalFormatting>
  <conditionalFormatting sqref="C62:W66">
    <cfRule type="cellIs" dxfId="11" priority="1" operator="notEqual">
      <formula>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44"/>
  <sheetViews>
    <sheetView topLeftCell="A3" workbookViewId="0">
      <pane xSplit="2" ySplit="2" topLeftCell="C5" activePane="bottomRight" state="frozen"/>
      <selection activeCell="B47" sqref="B47"/>
      <selection pane="topRight" activeCell="B47" sqref="B47"/>
      <selection pane="bottomLeft" activeCell="B47" sqref="B47"/>
      <selection pane="bottomRight" activeCell="B47" sqref="B47"/>
    </sheetView>
  </sheetViews>
  <sheetFormatPr defaultRowHeight="15"/>
  <cols>
    <col min="1" max="1" width="4.85546875" bestFit="1" customWidth="1"/>
    <col min="2" max="2" width="41.140625" bestFit="1" customWidth="1"/>
    <col min="3" max="3" width="22.28515625" bestFit="1" customWidth="1"/>
    <col min="4" max="5" width="17.85546875" customWidth="1"/>
    <col min="6" max="6" width="19.28515625" bestFit="1" customWidth="1"/>
    <col min="7" max="8" width="17.85546875" customWidth="1"/>
    <col min="9" max="9" width="19.28515625" bestFit="1" customWidth="1"/>
    <col min="10" max="21" width="17.85546875" customWidth="1"/>
    <col min="22" max="22" width="16.28515625" bestFit="1" customWidth="1"/>
    <col min="23" max="23" width="18.28515625" bestFit="1" customWidth="1"/>
    <col min="24" max="24" width="16" bestFit="1" customWidth="1"/>
  </cols>
  <sheetData>
    <row r="2" spans="1:24">
      <c r="B2" s="17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</row>
    <row r="3" spans="1:24">
      <c r="B3" s="17"/>
      <c r="C3" s="17">
        <v>43591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</row>
    <row r="4" spans="1:24" s="7" customFormat="1" ht="81.75" customHeight="1">
      <c r="A4" s="6"/>
      <c r="B4" s="6" t="s">
        <v>400</v>
      </c>
      <c r="C4" s="6" t="s">
        <v>82</v>
      </c>
      <c r="D4" s="6" t="s">
        <v>83</v>
      </c>
      <c r="E4" s="6" t="s">
        <v>84</v>
      </c>
      <c r="F4" s="6" t="s">
        <v>85</v>
      </c>
      <c r="G4" s="6" t="s">
        <v>86</v>
      </c>
      <c r="H4" s="6" t="s">
        <v>87</v>
      </c>
      <c r="I4" s="6" t="s">
        <v>88</v>
      </c>
      <c r="J4" s="6" t="s">
        <v>89</v>
      </c>
      <c r="K4" s="6" t="s">
        <v>90</v>
      </c>
      <c r="L4" s="6" t="s">
        <v>91</v>
      </c>
      <c r="M4" s="6" t="s">
        <v>92</v>
      </c>
      <c r="N4" s="6" t="s">
        <v>93</v>
      </c>
      <c r="O4" s="6" t="s">
        <v>94</v>
      </c>
      <c r="P4" s="6" t="s">
        <v>95</v>
      </c>
      <c r="Q4" s="6" t="s">
        <v>96</v>
      </c>
      <c r="R4" s="6" t="s">
        <v>97</v>
      </c>
      <c r="S4" s="6" t="s">
        <v>98</v>
      </c>
      <c r="T4" s="6" t="s">
        <v>99</v>
      </c>
      <c r="U4" s="6" t="s">
        <v>100</v>
      </c>
      <c r="V4" s="6" t="s">
        <v>162</v>
      </c>
      <c r="W4" s="6" t="s">
        <v>204</v>
      </c>
    </row>
    <row r="5" spans="1:24" s="22" customFormat="1" ht="63" customHeight="1">
      <c r="A5" s="276" t="s">
        <v>321</v>
      </c>
      <c r="B5" s="277"/>
      <c r="C5" s="10">
        <v>11677165690.48</v>
      </c>
      <c r="D5" s="10">
        <v>52342199.700000003</v>
      </c>
      <c r="E5" s="10">
        <v>68578401.450000003</v>
      </c>
      <c r="F5" s="10">
        <v>48071385.43</v>
      </c>
      <c r="G5" s="10">
        <v>227066352.08000001</v>
      </c>
      <c r="H5" s="10">
        <v>112205307.06999999</v>
      </c>
      <c r="I5" s="10">
        <v>88447596.790000007</v>
      </c>
      <c r="J5" s="10">
        <v>32107387.199999999</v>
      </c>
      <c r="K5" s="10">
        <v>16605971.24</v>
      </c>
      <c r="L5" s="10">
        <v>209091904.18000001</v>
      </c>
      <c r="M5" s="10">
        <v>65258176.579999998</v>
      </c>
      <c r="N5" s="10">
        <v>26827895.57</v>
      </c>
      <c r="O5" s="10">
        <v>93348496.370000005</v>
      </c>
      <c r="P5" s="10">
        <v>31911972.940000001</v>
      </c>
      <c r="Q5" s="10">
        <v>7953936.8799999999</v>
      </c>
      <c r="R5" s="10">
        <v>21965804.079999998</v>
      </c>
      <c r="S5" s="10">
        <v>61609337.43</v>
      </c>
      <c r="T5" s="10">
        <v>148775986.72999999</v>
      </c>
      <c r="U5" s="10">
        <v>43967574.329999998</v>
      </c>
      <c r="V5" s="10">
        <f>SUM(V6:V11)</f>
        <v>-2916910.75</v>
      </c>
      <c r="W5" s="10">
        <f>SUM(W6:W11)</f>
        <v>13030384465.779999</v>
      </c>
      <c r="X5" s="21">
        <f>W5-'RZiS 31.12.2018'!C8</f>
        <v>0</v>
      </c>
    </row>
    <row r="6" spans="1:24">
      <c r="A6" s="274" t="s">
        <v>322</v>
      </c>
      <c r="B6" s="275"/>
      <c r="C6" s="14">
        <v>875749.22</v>
      </c>
      <c r="D6" s="14">
        <v>5834364.6799999997</v>
      </c>
      <c r="E6" s="14">
        <v>20753798.030000001</v>
      </c>
      <c r="F6" s="14">
        <v>5663547.4900000002</v>
      </c>
      <c r="G6" s="14">
        <v>126146590.84999999</v>
      </c>
      <c r="H6" s="14">
        <v>78168127.959999993</v>
      </c>
      <c r="I6" s="14">
        <v>48981719.789999999</v>
      </c>
      <c r="J6" s="14">
        <v>17206612.149999999</v>
      </c>
      <c r="K6" s="14">
        <v>7787185.9400000004</v>
      </c>
      <c r="L6" s="14">
        <v>123917324.73999999</v>
      </c>
      <c r="M6" s="14">
        <v>29666337.420000002</v>
      </c>
      <c r="N6" s="14">
        <v>10227859.199999999</v>
      </c>
      <c r="O6" s="14">
        <v>51551866.359999999</v>
      </c>
      <c r="P6" s="14">
        <v>5296019.66</v>
      </c>
      <c r="Q6" s="14">
        <v>1070589.8899999999</v>
      </c>
      <c r="R6" s="14">
        <v>5710792.2000000002</v>
      </c>
      <c r="S6" s="14">
        <v>9759469.6300000008</v>
      </c>
      <c r="T6" s="14">
        <v>21042297.960000001</v>
      </c>
      <c r="U6" s="14">
        <v>33227169.280000001</v>
      </c>
      <c r="V6" s="14">
        <f>-[2]Razem_Z3!$D$67</f>
        <v>-100.25</v>
      </c>
      <c r="W6" s="14">
        <f t="shared" ref="W6:W11" si="0">SUM(C6:V6)</f>
        <v>602887322.20000005</v>
      </c>
      <c r="X6" s="28">
        <f>W6-'RZiS 31.12.2018'!C9</f>
        <v>0</v>
      </c>
    </row>
    <row r="7" spans="1:24">
      <c r="A7" s="274" t="s">
        <v>323</v>
      </c>
      <c r="B7" s="275"/>
      <c r="C7" s="14">
        <v>0</v>
      </c>
      <c r="D7" s="14">
        <v>-44380.77</v>
      </c>
      <c r="E7" s="14"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0</v>
      </c>
      <c r="M7" s="14">
        <v>20559.61</v>
      </c>
      <c r="N7" s="14">
        <v>3109.8</v>
      </c>
      <c r="O7" s="14">
        <v>22605.78</v>
      </c>
      <c r="P7" s="14">
        <v>9274.6200000000008</v>
      </c>
      <c r="Q7" s="14">
        <v>151767.14000000001</v>
      </c>
      <c r="R7" s="14">
        <v>0</v>
      </c>
      <c r="S7" s="14">
        <v>-3417.11</v>
      </c>
      <c r="T7" s="14">
        <v>0</v>
      </c>
      <c r="U7" s="14">
        <v>0</v>
      </c>
      <c r="V7" s="14"/>
      <c r="W7" s="14">
        <f t="shared" si="0"/>
        <v>159519.07000000004</v>
      </c>
      <c r="X7" s="28">
        <f>W7-'RZiS 31.12.2018'!C10</f>
        <v>0</v>
      </c>
    </row>
    <row r="8" spans="1:24">
      <c r="A8" s="274" t="s">
        <v>324</v>
      </c>
      <c r="B8" s="275"/>
      <c r="C8" s="14">
        <v>0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14">
        <v>0</v>
      </c>
      <c r="Q8" s="14">
        <v>0</v>
      </c>
      <c r="R8" s="14">
        <v>0</v>
      </c>
      <c r="S8" s="14">
        <v>0</v>
      </c>
      <c r="T8" s="14">
        <v>0</v>
      </c>
      <c r="U8" s="14">
        <v>0</v>
      </c>
      <c r="V8" s="14"/>
      <c r="W8" s="14">
        <f t="shared" si="0"/>
        <v>0</v>
      </c>
      <c r="X8" s="28">
        <f>W8-'RZiS 31.12.2018'!C11</f>
        <v>0</v>
      </c>
    </row>
    <row r="9" spans="1:24">
      <c r="A9" s="274" t="s">
        <v>325</v>
      </c>
      <c r="B9" s="275"/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4">
        <v>0</v>
      </c>
      <c r="Q9" s="14">
        <v>0</v>
      </c>
      <c r="R9" s="14">
        <v>0</v>
      </c>
      <c r="S9" s="14">
        <v>0</v>
      </c>
      <c r="T9" s="14">
        <v>0</v>
      </c>
      <c r="U9" s="14">
        <v>0</v>
      </c>
      <c r="V9" s="14"/>
      <c r="W9" s="14">
        <f t="shared" si="0"/>
        <v>0</v>
      </c>
      <c r="X9" s="28">
        <f>W9-'RZiS 31.12.2018'!C12</f>
        <v>0</v>
      </c>
    </row>
    <row r="10" spans="1:24">
      <c r="A10" s="274" t="s">
        <v>326</v>
      </c>
      <c r="B10" s="275"/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4">
        <v>0</v>
      </c>
      <c r="T10" s="14">
        <v>0</v>
      </c>
      <c r="U10" s="14">
        <v>0</v>
      </c>
      <c r="V10" s="14"/>
      <c r="W10" s="14">
        <f t="shared" si="0"/>
        <v>0</v>
      </c>
      <c r="X10" s="28">
        <f>W10-'RZiS 31.12.2018'!C13</f>
        <v>0</v>
      </c>
    </row>
    <row r="11" spans="1:24">
      <c r="A11" s="274" t="s">
        <v>327</v>
      </c>
      <c r="B11" s="275"/>
      <c r="C11" s="14">
        <v>11676289941.26</v>
      </c>
      <c r="D11" s="14">
        <v>46552215.789999999</v>
      </c>
      <c r="E11" s="14">
        <v>47824603.420000002</v>
      </c>
      <c r="F11" s="14">
        <v>42407837.939999998</v>
      </c>
      <c r="G11" s="14">
        <v>100919761.23</v>
      </c>
      <c r="H11" s="14">
        <v>34037179.109999999</v>
      </c>
      <c r="I11" s="14">
        <v>39465877</v>
      </c>
      <c r="J11" s="14">
        <v>14900775.050000001</v>
      </c>
      <c r="K11" s="14">
        <v>8818785.3000000007</v>
      </c>
      <c r="L11" s="14">
        <v>85174579.439999998</v>
      </c>
      <c r="M11" s="14">
        <v>35571279.549999997</v>
      </c>
      <c r="N11" s="14">
        <v>16596926.57</v>
      </c>
      <c r="O11" s="14">
        <v>41774024.229999997</v>
      </c>
      <c r="P11" s="14">
        <v>26606678.66</v>
      </c>
      <c r="Q11" s="14">
        <v>6731579.8499999996</v>
      </c>
      <c r="R11" s="14">
        <v>16255011.880000001</v>
      </c>
      <c r="S11" s="14">
        <v>51853284.909999996</v>
      </c>
      <c r="T11" s="14">
        <v>127733688.77</v>
      </c>
      <c r="U11" s="14">
        <v>10740405.050000001</v>
      </c>
      <c r="V11" s="14">
        <f>-[2]Razem_Z3!$D$69</f>
        <v>-2916810.5</v>
      </c>
      <c r="W11" s="14">
        <f t="shared" si="0"/>
        <v>12427337624.509998</v>
      </c>
      <c r="X11" s="28">
        <f>W11-'RZiS 31.12.2018'!C14</f>
        <v>0</v>
      </c>
    </row>
    <row r="12" spans="1:24" s="22" customFormat="1">
      <c r="A12" s="276" t="s">
        <v>328</v>
      </c>
      <c r="B12" s="277"/>
      <c r="C12" s="10">
        <v>981618820.63</v>
      </c>
      <c r="D12" s="10">
        <v>131490416.40000001</v>
      </c>
      <c r="E12" s="10">
        <v>160620550.34</v>
      </c>
      <c r="F12" s="10">
        <v>133006099.68000001</v>
      </c>
      <c r="G12" s="10">
        <v>191332754.22</v>
      </c>
      <c r="H12" s="10">
        <v>87961977.650000006</v>
      </c>
      <c r="I12" s="10">
        <v>168935048.09999999</v>
      </c>
      <c r="J12" s="10">
        <v>84167623.890000001</v>
      </c>
      <c r="K12" s="10">
        <v>45019682.450000003</v>
      </c>
      <c r="L12" s="10">
        <v>107147162.87</v>
      </c>
      <c r="M12" s="10">
        <v>133543152.48999999</v>
      </c>
      <c r="N12" s="10">
        <v>87699922.719999999</v>
      </c>
      <c r="O12" s="10">
        <v>163298604.02000001</v>
      </c>
      <c r="P12" s="10">
        <v>96492318.200000003</v>
      </c>
      <c r="Q12" s="10">
        <v>45560006.079999998</v>
      </c>
      <c r="R12" s="10">
        <v>65894951.299999997</v>
      </c>
      <c r="S12" s="10">
        <v>60047847.420000002</v>
      </c>
      <c r="T12" s="10">
        <v>132123223.23</v>
      </c>
      <c r="U12" s="10">
        <v>56609832.210000001</v>
      </c>
      <c r="V12" s="10">
        <f>SUM(V13:V22)</f>
        <v>-2916910.75</v>
      </c>
      <c r="W12" s="10">
        <f>SUM(W13:W22)</f>
        <v>2929653083.1500001</v>
      </c>
      <c r="X12" s="21">
        <f>W12-'RZiS 31.12.2018'!C15</f>
        <v>0</v>
      </c>
    </row>
    <row r="13" spans="1:24">
      <c r="A13" s="274" t="s">
        <v>329</v>
      </c>
      <c r="B13" s="275"/>
      <c r="C13" s="14">
        <v>28343891.800000001</v>
      </c>
      <c r="D13" s="14">
        <v>9769744.2100000009</v>
      </c>
      <c r="E13" s="14">
        <v>15201877.43</v>
      </c>
      <c r="F13" s="14">
        <v>7627644.8700000001</v>
      </c>
      <c r="G13" s="14">
        <v>5917187.7000000002</v>
      </c>
      <c r="H13" s="14">
        <v>7703496.8399999999</v>
      </c>
      <c r="I13" s="14">
        <v>7780101.8600000003</v>
      </c>
      <c r="J13" s="14">
        <v>2191669.36</v>
      </c>
      <c r="K13" s="14">
        <v>4896752.74</v>
      </c>
      <c r="L13" s="14">
        <v>868676.51</v>
      </c>
      <c r="M13" s="14">
        <v>6214367.1600000001</v>
      </c>
      <c r="N13" s="14">
        <v>7795707.4100000001</v>
      </c>
      <c r="O13" s="14">
        <v>12331859.939999999</v>
      </c>
      <c r="P13" s="14">
        <v>6814365.6900000004</v>
      </c>
      <c r="Q13" s="14">
        <v>8305417.75</v>
      </c>
      <c r="R13" s="14">
        <v>6542984.3399999999</v>
      </c>
      <c r="S13" s="14">
        <v>5779134.71</v>
      </c>
      <c r="T13" s="14">
        <v>4912274.82</v>
      </c>
      <c r="U13" s="14">
        <v>3054749.11</v>
      </c>
      <c r="V13" s="14"/>
      <c r="W13" s="14">
        <f t="shared" ref="W13:W22" si="1">SUM(C13:V13)</f>
        <v>152051904.25</v>
      </c>
      <c r="X13" s="28">
        <f>W13-'RZiS 31.12.2018'!C16</f>
        <v>0</v>
      </c>
    </row>
    <row r="14" spans="1:24">
      <c r="A14" s="274" t="s">
        <v>330</v>
      </c>
      <c r="B14" s="275"/>
      <c r="C14" s="14">
        <v>15711775.039999999</v>
      </c>
      <c r="D14" s="14">
        <v>3135736.54</v>
      </c>
      <c r="E14" s="14">
        <v>1496705.22</v>
      </c>
      <c r="F14" s="14">
        <v>1889222.26</v>
      </c>
      <c r="G14" s="14">
        <v>2230091.0699999998</v>
      </c>
      <c r="H14" s="14">
        <v>1077358.8799999999</v>
      </c>
      <c r="I14" s="14">
        <v>1796753.18</v>
      </c>
      <c r="J14" s="14">
        <v>813285.2</v>
      </c>
      <c r="K14" s="14">
        <v>1060654.67</v>
      </c>
      <c r="L14" s="14">
        <v>1660825.43</v>
      </c>
      <c r="M14" s="14">
        <v>2471965.27</v>
      </c>
      <c r="N14" s="14">
        <v>2576185.64</v>
      </c>
      <c r="O14" s="14">
        <v>3651080.29</v>
      </c>
      <c r="P14" s="14">
        <v>1184037.79</v>
      </c>
      <c r="Q14" s="14">
        <v>740727.7</v>
      </c>
      <c r="R14" s="14">
        <v>2267899.0099999998</v>
      </c>
      <c r="S14" s="14">
        <v>912432.49</v>
      </c>
      <c r="T14" s="14">
        <v>2052847.75</v>
      </c>
      <c r="U14" s="14">
        <v>1013322.54</v>
      </c>
      <c r="V14" s="14"/>
      <c r="W14" s="14">
        <f t="shared" si="1"/>
        <v>47742905.969999991</v>
      </c>
      <c r="X14" s="28">
        <f>W14-'RZiS 31.12.2018'!C17</f>
        <v>0</v>
      </c>
    </row>
    <row r="15" spans="1:24">
      <c r="A15" s="274" t="s">
        <v>331</v>
      </c>
      <c r="B15" s="275"/>
      <c r="C15" s="14">
        <v>474823113.68000001</v>
      </c>
      <c r="D15" s="14">
        <v>16733241.52</v>
      </c>
      <c r="E15" s="14">
        <v>15957487.27</v>
      </c>
      <c r="F15" s="14">
        <v>17522642.43</v>
      </c>
      <c r="G15" s="14">
        <v>26382832.989999998</v>
      </c>
      <c r="H15" s="14">
        <v>16336453.720000001</v>
      </c>
      <c r="I15" s="14">
        <v>22492821.719999999</v>
      </c>
      <c r="J15" s="14">
        <v>9659337.3900000006</v>
      </c>
      <c r="K15" s="14">
        <v>7556698.3099999996</v>
      </c>
      <c r="L15" s="14">
        <v>20767993.079999998</v>
      </c>
      <c r="M15" s="14">
        <v>15742097.439999999</v>
      </c>
      <c r="N15" s="14">
        <v>13833053.859999999</v>
      </c>
      <c r="O15" s="14">
        <v>29707815.98</v>
      </c>
      <c r="P15" s="14">
        <v>10367055.039999999</v>
      </c>
      <c r="Q15" s="14">
        <v>6717569.9299999997</v>
      </c>
      <c r="R15" s="14">
        <v>14756697.550000001</v>
      </c>
      <c r="S15" s="14">
        <v>8534361.1899999995</v>
      </c>
      <c r="T15" s="14">
        <v>11915478.51</v>
      </c>
      <c r="U15" s="14">
        <v>7964616.29</v>
      </c>
      <c r="V15" s="14"/>
      <c r="W15" s="14">
        <f t="shared" si="1"/>
        <v>747771367.89999998</v>
      </c>
      <c r="X15" s="28">
        <f>W15-'RZiS 31.12.2018'!C18</f>
        <v>0</v>
      </c>
    </row>
    <row r="16" spans="1:24">
      <c r="A16" s="274" t="s">
        <v>332</v>
      </c>
      <c r="B16" s="275"/>
      <c r="C16" s="14">
        <v>10525871.51</v>
      </c>
      <c r="D16" s="14">
        <v>951620.35</v>
      </c>
      <c r="E16" s="14">
        <v>73198.92</v>
      </c>
      <c r="F16" s="14">
        <v>51162.38</v>
      </c>
      <c r="G16" s="14">
        <v>73140.13</v>
      </c>
      <c r="H16" s="14">
        <v>75775.539999999994</v>
      </c>
      <c r="I16" s="14">
        <v>614570.81000000006</v>
      </c>
      <c r="J16" s="14">
        <v>28037.34</v>
      </c>
      <c r="K16" s="14">
        <v>104065.81</v>
      </c>
      <c r="L16" s="14">
        <v>210235.75</v>
      </c>
      <c r="M16" s="14">
        <v>489538.59</v>
      </c>
      <c r="N16" s="14">
        <v>972376.34</v>
      </c>
      <c r="O16" s="14">
        <v>887144.29</v>
      </c>
      <c r="P16" s="14">
        <v>119819.46</v>
      </c>
      <c r="Q16" s="14">
        <v>261437.98</v>
      </c>
      <c r="R16" s="14">
        <v>556462.88</v>
      </c>
      <c r="S16" s="14">
        <v>130224.15</v>
      </c>
      <c r="T16" s="14">
        <v>1131761.82</v>
      </c>
      <c r="U16" s="14">
        <v>454570.16</v>
      </c>
      <c r="V16" s="14">
        <f>-[2]Razem_Z3!$D$74</f>
        <v>-2916910.75</v>
      </c>
      <c r="W16" s="14">
        <f t="shared" si="1"/>
        <v>14794103.460000005</v>
      </c>
      <c r="X16" s="28">
        <f>W16-'RZiS 31.12.2018'!C19</f>
        <v>0</v>
      </c>
    </row>
    <row r="17" spans="1:24">
      <c r="A17" s="274" t="s">
        <v>333</v>
      </c>
      <c r="B17" s="275"/>
      <c r="C17" s="14">
        <v>346932063.79000002</v>
      </c>
      <c r="D17" s="14">
        <v>25548513.66</v>
      </c>
      <c r="E17" s="14">
        <v>24987043.460000001</v>
      </c>
      <c r="F17" s="14">
        <v>21940018.640000001</v>
      </c>
      <c r="G17" s="14">
        <v>40730696.310000002</v>
      </c>
      <c r="H17" s="14">
        <v>17162667.129999999</v>
      </c>
      <c r="I17" s="14">
        <v>25021560.489999998</v>
      </c>
      <c r="J17" s="14">
        <v>17562158.940000001</v>
      </c>
      <c r="K17" s="14">
        <v>10824401.050000001</v>
      </c>
      <c r="L17" s="14">
        <v>26827510.039999999</v>
      </c>
      <c r="M17" s="14">
        <v>22299580.149999999</v>
      </c>
      <c r="N17" s="14">
        <v>16232057.74</v>
      </c>
      <c r="O17" s="14">
        <v>25658832.050000001</v>
      </c>
      <c r="P17" s="14">
        <v>18161180.18</v>
      </c>
      <c r="Q17" s="14">
        <v>8235997.4900000002</v>
      </c>
      <c r="R17" s="14">
        <v>10376174.210000001</v>
      </c>
      <c r="S17" s="14">
        <v>13563519.699999999</v>
      </c>
      <c r="T17" s="14">
        <v>27325082.25</v>
      </c>
      <c r="U17" s="14">
        <v>14098371.23</v>
      </c>
      <c r="V17" s="14"/>
      <c r="W17" s="14">
        <f t="shared" si="1"/>
        <v>713487428.50999999</v>
      </c>
      <c r="X17" s="28">
        <f>W17-'RZiS 31.12.2018'!C20</f>
        <v>0</v>
      </c>
    </row>
    <row r="18" spans="1:24">
      <c r="A18" s="274" t="s">
        <v>334</v>
      </c>
      <c r="B18" s="275"/>
      <c r="C18" s="14">
        <v>73285280.420000002</v>
      </c>
      <c r="D18" s="14">
        <v>4468882.1500000004</v>
      </c>
      <c r="E18" s="14">
        <v>4381483.3600000003</v>
      </c>
      <c r="F18" s="14">
        <v>3959807.94</v>
      </c>
      <c r="G18" s="14">
        <v>7189073.9299999997</v>
      </c>
      <c r="H18" s="14">
        <v>3071863.57</v>
      </c>
      <c r="I18" s="14">
        <v>4386371.7699999996</v>
      </c>
      <c r="J18" s="14">
        <v>3143503.04</v>
      </c>
      <c r="K18" s="14">
        <v>1956150.88</v>
      </c>
      <c r="L18" s="14">
        <v>4649851.2699999996</v>
      </c>
      <c r="M18" s="14">
        <v>3867600.21</v>
      </c>
      <c r="N18" s="14">
        <v>2746213.33</v>
      </c>
      <c r="O18" s="14">
        <v>5632327.9299999997</v>
      </c>
      <c r="P18" s="14">
        <v>3188837.59</v>
      </c>
      <c r="Q18" s="14">
        <v>1478344.23</v>
      </c>
      <c r="R18" s="14">
        <v>1889227.78</v>
      </c>
      <c r="S18" s="14">
        <v>2428407.23</v>
      </c>
      <c r="T18" s="14">
        <v>6210486.0899999999</v>
      </c>
      <c r="U18" s="14">
        <v>2692350.45</v>
      </c>
      <c r="V18" s="14"/>
      <c r="W18" s="14">
        <f t="shared" si="1"/>
        <v>140626063.16999999</v>
      </c>
      <c r="X18" s="28">
        <f>W18-'RZiS 31.12.2018'!C21</f>
        <v>0</v>
      </c>
    </row>
    <row r="19" spans="1:24">
      <c r="A19" s="274" t="s">
        <v>335</v>
      </c>
      <c r="B19" s="275"/>
      <c r="C19" s="14">
        <v>15666527.25</v>
      </c>
      <c r="D19" s="14">
        <v>203311.47</v>
      </c>
      <c r="E19" s="14">
        <v>824865.2</v>
      </c>
      <c r="F19" s="14">
        <v>811686.91</v>
      </c>
      <c r="G19" s="14">
        <v>242669.04</v>
      </c>
      <c r="H19" s="14">
        <v>2209176.83</v>
      </c>
      <c r="I19" s="14">
        <v>103231.33</v>
      </c>
      <c r="J19" s="14">
        <v>158926.42000000001</v>
      </c>
      <c r="K19" s="14">
        <v>163612.21</v>
      </c>
      <c r="L19" s="14">
        <v>0</v>
      </c>
      <c r="M19" s="14">
        <v>1335391.1499999999</v>
      </c>
      <c r="N19" s="14">
        <v>139862.54</v>
      </c>
      <c r="O19" s="14">
        <v>86326.96</v>
      </c>
      <c r="P19" s="14">
        <v>93823.61</v>
      </c>
      <c r="Q19" s="14">
        <v>362330</v>
      </c>
      <c r="R19" s="14">
        <v>95921.04</v>
      </c>
      <c r="S19" s="14">
        <v>526137.9</v>
      </c>
      <c r="T19" s="14">
        <v>68148.89</v>
      </c>
      <c r="U19" s="14">
        <v>144192.20000000001</v>
      </c>
      <c r="V19" s="14"/>
      <c r="W19" s="14">
        <f t="shared" si="1"/>
        <v>23236140.949999992</v>
      </c>
      <c r="X19" s="28">
        <f>W19-'RZiS 31.12.2018'!C22</f>
        <v>0</v>
      </c>
    </row>
    <row r="20" spans="1:24">
      <c r="A20" s="274" t="s">
        <v>336</v>
      </c>
      <c r="B20" s="275"/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4">
        <v>0</v>
      </c>
      <c r="T20" s="14">
        <v>0</v>
      </c>
      <c r="U20" s="14">
        <v>0</v>
      </c>
      <c r="V20" s="14"/>
      <c r="W20" s="14">
        <f t="shared" si="1"/>
        <v>0</v>
      </c>
      <c r="X20" s="28">
        <f>W20-'RZiS 31.12.2018'!C23</f>
        <v>0</v>
      </c>
    </row>
    <row r="21" spans="1:24">
      <c r="A21" s="274" t="s">
        <v>337</v>
      </c>
      <c r="B21" s="275"/>
      <c r="C21" s="14">
        <v>16330297.140000001</v>
      </c>
      <c r="D21" s="14">
        <v>70679366.5</v>
      </c>
      <c r="E21" s="14">
        <v>97697889.480000004</v>
      </c>
      <c r="F21" s="14">
        <v>79203914.25</v>
      </c>
      <c r="G21" s="14">
        <v>108567063.05</v>
      </c>
      <c r="H21" s="14">
        <v>40325185.140000001</v>
      </c>
      <c r="I21" s="14">
        <v>106739636.94</v>
      </c>
      <c r="J21" s="14">
        <v>50610706.200000003</v>
      </c>
      <c r="K21" s="14">
        <v>18457346.780000001</v>
      </c>
      <c r="L21" s="14">
        <v>52162070.789999999</v>
      </c>
      <c r="M21" s="14">
        <v>81122612.519999996</v>
      </c>
      <c r="N21" s="14">
        <v>43403927.380000003</v>
      </c>
      <c r="O21" s="14">
        <v>85343216.579999998</v>
      </c>
      <c r="P21" s="14">
        <v>56563198.840000004</v>
      </c>
      <c r="Q21" s="14">
        <v>19458181</v>
      </c>
      <c r="R21" s="14">
        <v>29409584.489999998</v>
      </c>
      <c r="S21" s="14">
        <v>28173630.050000001</v>
      </c>
      <c r="T21" s="14">
        <v>78507143.099999994</v>
      </c>
      <c r="U21" s="14">
        <v>27187660.23</v>
      </c>
      <c r="V21" s="14"/>
      <c r="W21" s="14">
        <f t="shared" si="1"/>
        <v>1089942630.46</v>
      </c>
      <c r="X21" s="28">
        <f>W21-'RZiS 31.12.2018'!C24</f>
        <v>0</v>
      </c>
    </row>
    <row r="22" spans="1:24">
      <c r="A22" s="274" t="s">
        <v>338</v>
      </c>
      <c r="B22" s="275"/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538.48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  <c r="T22" s="14">
        <v>0</v>
      </c>
      <c r="U22" s="14">
        <v>0</v>
      </c>
      <c r="V22" s="14"/>
      <c r="W22" s="14">
        <f t="shared" si="1"/>
        <v>538.48</v>
      </c>
      <c r="X22" s="28">
        <f>W22-'RZiS 31.12.2018'!C25</f>
        <v>0</v>
      </c>
    </row>
    <row r="23" spans="1:24" s="22" customFormat="1">
      <c r="A23" s="276" t="s">
        <v>339</v>
      </c>
      <c r="B23" s="277"/>
      <c r="C23" s="10">
        <v>10695546869.85</v>
      </c>
      <c r="D23" s="10">
        <v>-79148216.700000003</v>
      </c>
      <c r="E23" s="10">
        <v>-92042148.890000001</v>
      </c>
      <c r="F23" s="10">
        <v>-84934714.25</v>
      </c>
      <c r="G23" s="10">
        <v>35733597.859999999</v>
      </c>
      <c r="H23" s="10">
        <v>24243329.420000002</v>
      </c>
      <c r="I23" s="10">
        <v>-80487451.310000002</v>
      </c>
      <c r="J23" s="10">
        <v>-52060236.689999998</v>
      </c>
      <c r="K23" s="10">
        <v>-28413711.210000001</v>
      </c>
      <c r="L23" s="10">
        <v>101944741.31</v>
      </c>
      <c r="M23" s="10">
        <v>-68284975.909999996</v>
      </c>
      <c r="N23" s="10">
        <v>-60872027.149999999</v>
      </c>
      <c r="O23" s="10">
        <v>-69950107.650000006</v>
      </c>
      <c r="P23" s="10">
        <v>-64580345.259999998</v>
      </c>
      <c r="Q23" s="10">
        <v>-37606069.200000003</v>
      </c>
      <c r="R23" s="10">
        <v>-43929147.219999999</v>
      </c>
      <c r="S23" s="10">
        <v>1561490.01</v>
      </c>
      <c r="T23" s="10">
        <v>16652763.5</v>
      </c>
      <c r="U23" s="10">
        <v>-12642257.880000001</v>
      </c>
      <c r="V23" s="10">
        <f>V5-V12</f>
        <v>0</v>
      </c>
      <c r="W23" s="10">
        <f>W5-W12</f>
        <v>10100731382.629999</v>
      </c>
      <c r="X23" s="21">
        <f>W23-'RZiS 31.12.2018'!C26</f>
        <v>0</v>
      </c>
    </row>
    <row r="24" spans="1:24" s="22" customFormat="1">
      <c r="A24" s="276" t="s">
        <v>340</v>
      </c>
      <c r="B24" s="277"/>
      <c r="C24" s="10">
        <v>96198724.069999993</v>
      </c>
      <c r="D24" s="10">
        <v>3539206.96</v>
      </c>
      <c r="E24" s="10">
        <v>23844990.27</v>
      </c>
      <c r="F24" s="10">
        <v>5744266.1299999999</v>
      </c>
      <c r="G24" s="10">
        <v>33877530.780000001</v>
      </c>
      <c r="H24" s="10">
        <v>38242458.270000003</v>
      </c>
      <c r="I24" s="10">
        <v>33974427.149999999</v>
      </c>
      <c r="J24" s="10">
        <v>11073675.460000001</v>
      </c>
      <c r="K24" s="10">
        <v>648581.67000000004</v>
      </c>
      <c r="L24" s="10">
        <v>20374743.289999999</v>
      </c>
      <c r="M24" s="10">
        <v>9212946.9700000007</v>
      </c>
      <c r="N24" s="10">
        <v>1972444.05</v>
      </c>
      <c r="O24" s="10">
        <v>168634321.41</v>
      </c>
      <c r="P24" s="10">
        <v>4666274.53</v>
      </c>
      <c r="Q24" s="10">
        <v>2024039.45</v>
      </c>
      <c r="R24" s="10">
        <v>4715205.22</v>
      </c>
      <c r="S24" s="10">
        <v>1143332.1200000001</v>
      </c>
      <c r="T24" s="10">
        <v>121282293.93000001</v>
      </c>
      <c r="U24" s="10">
        <v>21171962.129999999</v>
      </c>
      <c r="V24" s="10">
        <f>SUM(V25:V27)</f>
        <v>0</v>
      </c>
      <c r="W24" s="10">
        <f>SUM(W25:W27)</f>
        <v>602341423.86000001</v>
      </c>
      <c r="X24" s="21">
        <f>W24-'RZiS 31.12.2018'!C27</f>
        <v>0</v>
      </c>
    </row>
    <row r="25" spans="1:24">
      <c r="A25" s="274" t="s">
        <v>341</v>
      </c>
      <c r="B25" s="275"/>
      <c r="C25" s="14">
        <v>33550468.489999998</v>
      </c>
      <c r="D25" s="14">
        <v>2533070.8199999998</v>
      </c>
      <c r="E25" s="14">
        <v>5393836.5099999998</v>
      </c>
      <c r="F25" s="14">
        <v>717337.47</v>
      </c>
      <c r="G25" s="14">
        <v>17002057.59</v>
      </c>
      <c r="H25" s="14">
        <v>0</v>
      </c>
      <c r="I25" s="14">
        <v>9587392.3599999994</v>
      </c>
      <c r="J25" s="14">
        <v>8236469.2300000004</v>
      </c>
      <c r="K25" s="14">
        <v>355613.63</v>
      </c>
      <c r="L25" s="14">
        <v>10746219.869999999</v>
      </c>
      <c r="M25" s="14">
        <v>1401868.92</v>
      </c>
      <c r="N25" s="14">
        <v>399783.76</v>
      </c>
      <c r="O25" s="14">
        <v>1336032.8400000001</v>
      </c>
      <c r="P25" s="14">
        <v>1928686.97</v>
      </c>
      <c r="Q25" s="14">
        <v>23938.1</v>
      </c>
      <c r="R25" s="14">
        <v>128618.88</v>
      </c>
      <c r="S25" s="14">
        <v>12438.15</v>
      </c>
      <c r="T25" s="14">
        <v>221006.52</v>
      </c>
      <c r="U25" s="14">
        <v>12384839.42</v>
      </c>
      <c r="V25" s="14"/>
      <c r="W25" s="14">
        <f>SUM(C25:V25)</f>
        <v>105959679.53</v>
      </c>
      <c r="X25" s="28">
        <f>W25-'RZiS 31.12.2018'!C28</f>
        <v>0</v>
      </c>
    </row>
    <row r="26" spans="1:24">
      <c r="A26" s="274" t="s">
        <v>342</v>
      </c>
      <c r="B26" s="275"/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14">
        <v>0</v>
      </c>
      <c r="T26" s="14">
        <v>0</v>
      </c>
      <c r="U26" s="14">
        <v>0</v>
      </c>
      <c r="V26" s="14"/>
      <c r="W26" s="14">
        <f>SUM(C26:V26)</f>
        <v>0</v>
      </c>
      <c r="X26" s="28">
        <f>W26-'RZiS 31.12.2018'!C29</f>
        <v>0</v>
      </c>
    </row>
    <row r="27" spans="1:24">
      <c r="A27" s="274" t="s">
        <v>343</v>
      </c>
      <c r="B27" s="275"/>
      <c r="C27" s="14">
        <v>62648255.579999998</v>
      </c>
      <c r="D27" s="14">
        <v>1006136.14</v>
      </c>
      <c r="E27" s="14">
        <v>18451153.760000002</v>
      </c>
      <c r="F27" s="14">
        <v>5026928.66</v>
      </c>
      <c r="G27" s="14">
        <v>16875473.190000001</v>
      </c>
      <c r="H27" s="14">
        <v>38242458.270000003</v>
      </c>
      <c r="I27" s="14">
        <v>24387034.789999999</v>
      </c>
      <c r="J27" s="14">
        <v>2837206.23</v>
      </c>
      <c r="K27" s="14">
        <v>292968.03999999998</v>
      </c>
      <c r="L27" s="14">
        <v>9628523.4199999999</v>
      </c>
      <c r="M27" s="14">
        <v>7811078.0499999998</v>
      </c>
      <c r="N27" s="14">
        <v>1572660.29</v>
      </c>
      <c r="O27" s="14">
        <v>167298288.56999999</v>
      </c>
      <c r="P27" s="14">
        <v>2737587.56</v>
      </c>
      <c r="Q27" s="14">
        <v>2000101.35</v>
      </c>
      <c r="R27" s="14">
        <v>4586586.34</v>
      </c>
      <c r="S27" s="14">
        <v>1130893.97</v>
      </c>
      <c r="T27" s="14">
        <v>121061287.41</v>
      </c>
      <c r="U27" s="14">
        <v>8787122.7100000009</v>
      </c>
      <c r="V27" s="14"/>
      <c r="W27" s="14">
        <f>SUM(C27:V27)</f>
        <v>496381744.32999998</v>
      </c>
      <c r="X27" s="28">
        <f>W27-'RZiS 31.12.2018'!C30</f>
        <v>0</v>
      </c>
    </row>
    <row r="28" spans="1:24" s="22" customFormat="1">
      <c r="A28" s="276" t="s">
        <v>344</v>
      </c>
      <c r="B28" s="277"/>
      <c r="C28" s="10">
        <v>277939518.93000001</v>
      </c>
      <c r="D28" s="10">
        <v>3034039.69</v>
      </c>
      <c r="E28" s="10">
        <v>13363699.880000001</v>
      </c>
      <c r="F28" s="10">
        <v>9189586.0899999999</v>
      </c>
      <c r="G28" s="10">
        <v>124092053.95999999</v>
      </c>
      <c r="H28" s="10">
        <v>79870799.459999993</v>
      </c>
      <c r="I28" s="10">
        <v>28033895.57</v>
      </c>
      <c r="J28" s="10">
        <v>37416052.780000001</v>
      </c>
      <c r="K28" s="10">
        <v>1869818.95</v>
      </c>
      <c r="L28" s="10">
        <v>8688486.5399999991</v>
      </c>
      <c r="M28" s="10">
        <v>8596064.1899999995</v>
      </c>
      <c r="N28" s="10">
        <v>676084.14</v>
      </c>
      <c r="O28" s="10">
        <v>131167932.56999999</v>
      </c>
      <c r="P28" s="10">
        <v>2063507.8</v>
      </c>
      <c r="Q28" s="10">
        <v>2134850.5</v>
      </c>
      <c r="R28" s="10">
        <v>5472558.0099999998</v>
      </c>
      <c r="S28" s="10">
        <v>12208582.85</v>
      </c>
      <c r="T28" s="10">
        <v>110052172.28</v>
      </c>
      <c r="U28" s="10">
        <v>8995895.2300000004</v>
      </c>
      <c r="V28" s="10">
        <f>SUM(V29:V30)</f>
        <v>0</v>
      </c>
      <c r="W28" s="10">
        <f>SUM(W29:W30)</f>
        <v>864865599.41999996</v>
      </c>
      <c r="X28" s="21">
        <f>W28-'RZiS 31.12.2018'!C31</f>
        <v>0</v>
      </c>
    </row>
    <row r="29" spans="1:24">
      <c r="A29" s="274" t="s">
        <v>345</v>
      </c>
      <c r="B29" s="275"/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14">
        <v>0</v>
      </c>
      <c r="T29" s="14">
        <v>0</v>
      </c>
      <c r="U29" s="14">
        <v>0</v>
      </c>
      <c r="V29" s="14"/>
      <c r="W29" s="14">
        <f>SUM(C29:V29)</f>
        <v>0</v>
      </c>
      <c r="X29" s="28">
        <f>W29-'RZiS 31.12.2018'!C32</f>
        <v>0</v>
      </c>
    </row>
    <row r="30" spans="1:24">
      <c r="A30" s="274" t="s">
        <v>346</v>
      </c>
      <c r="B30" s="275"/>
      <c r="C30" s="14">
        <v>277939518.93000001</v>
      </c>
      <c r="D30" s="14">
        <v>3034039.69</v>
      </c>
      <c r="E30" s="14">
        <v>13363699.880000001</v>
      </c>
      <c r="F30" s="14">
        <v>9189586.0899999999</v>
      </c>
      <c r="G30" s="14">
        <v>124092053.95999999</v>
      </c>
      <c r="H30" s="14">
        <v>79870799.459999993</v>
      </c>
      <c r="I30" s="14">
        <v>28033895.57</v>
      </c>
      <c r="J30" s="14">
        <v>37416052.780000001</v>
      </c>
      <c r="K30" s="14">
        <v>1869818.95</v>
      </c>
      <c r="L30" s="14">
        <v>8688486.5399999991</v>
      </c>
      <c r="M30" s="14">
        <v>8596064.1899999995</v>
      </c>
      <c r="N30" s="14">
        <v>676084.14</v>
      </c>
      <c r="O30" s="14">
        <v>131167932.56999999</v>
      </c>
      <c r="P30" s="14">
        <v>2063507.8</v>
      </c>
      <c r="Q30" s="14">
        <v>2134850.5</v>
      </c>
      <c r="R30" s="14">
        <v>5472558.0099999998</v>
      </c>
      <c r="S30" s="14">
        <v>12208582.85</v>
      </c>
      <c r="T30" s="14">
        <v>110052172.28</v>
      </c>
      <c r="U30" s="14">
        <v>8995895.2300000004</v>
      </c>
      <c r="V30" s="14"/>
      <c r="W30" s="14">
        <f>SUM(C30:V30)</f>
        <v>864865599.41999996</v>
      </c>
      <c r="X30" s="28">
        <f>W30-'RZiS 31.12.2018'!C33</f>
        <v>0</v>
      </c>
    </row>
    <row r="31" spans="1:24" s="22" customFormat="1">
      <c r="A31" s="276" t="s">
        <v>347</v>
      </c>
      <c r="B31" s="277"/>
      <c r="C31" s="10">
        <v>10513806074.99</v>
      </c>
      <c r="D31" s="10">
        <v>-78643049.430000007</v>
      </c>
      <c r="E31" s="10">
        <v>-81560858.5</v>
      </c>
      <c r="F31" s="10">
        <v>-88380034.209999993</v>
      </c>
      <c r="G31" s="10">
        <v>-54480925.32</v>
      </c>
      <c r="H31" s="10">
        <v>-17385011.77</v>
      </c>
      <c r="I31" s="10">
        <v>-74546919.730000004</v>
      </c>
      <c r="J31" s="10">
        <v>-78402614.010000005</v>
      </c>
      <c r="K31" s="10">
        <v>-29634948.489999998</v>
      </c>
      <c r="L31" s="10">
        <v>113630998.06</v>
      </c>
      <c r="M31" s="10">
        <v>-67668093.129999995</v>
      </c>
      <c r="N31" s="10">
        <v>-59575667.240000002</v>
      </c>
      <c r="O31" s="10">
        <v>-32483718.809999999</v>
      </c>
      <c r="P31" s="10">
        <v>-61977578.530000001</v>
      </c>
      <c r="Q31" s="10">
        <v>-37716880.25</v>
      </c>
      <c r="R31" s="10">
        <v>-44686500.009999998</v>
      </c>
      <c r="S31" s="10">
        <v>-9503760.7200000007</v>
      </c>
      <c r="T31" s="10">
        <v>27882885.149999999</v>
      </c>
      <c r="U31" s="10">
        <v>-466190.98</v>
      </c>
      <c r="V31" s="10">
        <f>V23+V24-V28</f>
        <v>0</v>
      </c>
      <c r="W31" s="10">
        <f>W23+W24-W28</f>
        <v>9838207207.0699997</v>
      </c>
      <c r="X31" s="21">
        <f>W31-'RZiS 31.12.2018'!C34</f>
        <v>0</v>
      </c>
    </row>
    <row r="32" spans="1:24" s="22" customFormat="1">
      <c r="A32" s="276" t="s">
        <v>348</v>
      </c>
      <c r="B32" s="277"/>
      <c r="C32" s="10">
        <v>100388769.67</v>
      </c>
      <c r="D32" s="10">
        <v>1071858.98</v>
      </c>
      <c r="E32" s="10">
        <v>1420440.07</v>
      </c>
      <c r="F32" s="10">
        <v>1367153.33</v>
      </c>
      <c r="G32" s="10">
        <v>7577702.0099999998</v>
      </c>
      <c r="H32" s="10">
        <v>25584633.609999999</v>
      </c>
      <c r="I32" s="10">
        <v>10986464.17</v>
      </c>
      <c r="J32" s="10">
        <v>1526883.86</v>
      </c>
      <c r="K32" s="10">
        <v>679688.66</v>
      </c>
      <c r="L32" s="10">
        <v>5567846.0999999996</v>
      </c>
      <c r="M32" s="10">
        <v>1851865.91</v>
      </c>
      <c r="N32" s="10">
        <v>292687.76</v>
      </c>
      <c r="O32" s="10">
        <v>4128957.81</v>
      </c>
      <c r="P32" s="10">
        <v>732130.21</v>
      </c>
      <c r="Q32" s="10">
        <v>1149855.8999999999</v>
      </c>
      <c r="R32" s="10">
        <v>3189670.67</v>
      </c>
      <c r="S32" s="10">
        <v>1272405.43</v>
      </c>
      <c r="T32" s="10">
        <v>45202619.899999999</v>
      </c>
      <c r="U32" s="10">
        <v>330960.92</v>
      </c>
      <c r="V32" s="10">
        <f>SUM(V33:V35)</f>
        <v>0</v>
      </c>
      <c r="W32" s="10">
        <f>SUM(W33:W35)</f>
        <v>214322594.96999994</v>
      </c>
      <c r="X32" s="21">
        <f>W32-'RZiS 31.12.2018'!C35</f>
        <v>0</v>
      </c>
    </row>
    <row r="33" spans="1:24">
      <c r="A33" s="274" t="s">
        <v>349</v>
      </c>
      <c r="B33" s="275"/>
      <c r="C33" s="14">
        <v>2381361.04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  <c r="S33" s="14">
        <v>0</v>
      </c>
      <c r="T33" s="14">
        <v>0</v>
      </c>
      <c r="U33" s="14">
        <v>0</v>
      </c>
      <c r="V33" s="14"/>
      <c r="W33" s="14">
        <f t="shared" ref="W33:W41" si="2">SUM(C33:V33)</f>
        <v>2381361.04</v>
      </c>
      <c r="X33" s="28">
        <f>W33-'RZiS 31.12.2018'!C36</f>
        <v>0</v>
      </c>
    </row>
    <row r="34" spans="1:24">
      <c r="A34" s="274" t="s">
        <v>350</v>
      </c>
      <c r="B34" s="275"/>
      <c r="C34" s="14">
        <v>81689793.689999998</v>
      </c>
      <c r="D34" s="14">
        <v>1071858.98</v>
      </c>
      <c r="E34" s="14">
        <v>1420440.07</v>
      </c>
      <c r="F34" s="14">
        <v>1341994.97</v>
      </c>
      <c r="G34" s="14">
        <v>7394075.8499999996</v>
      </c>
      <c r="H34" s="14">
        <v>25584633.609999999</v>
      </c>
      <c r="I34" s="14">
        <v>10986464.17</v>
      </c>
      <c r="J34" s="14">
        <v>1520032.49</v>
      </c>
      <c r="K34" s="14">
        <v>679688.66</v>
      </c>
      <c r="L34" s="14">
        <v>5172936.8899999997</v>
      </c>
      <c r="M34" s="14">
        <v>1381927.1</v>
      </c>
      <c r="N34" s="14">
        <v>292687.76</v>
      </c>
      <c r="O34" s="14">
        <v>2540949.81</v>
      </c>
      <c r="P34" s="14">
        <v>732130.21</v>
      </c>
      <c r="Q34" s="14">
        <v>266496.59000000003</v>
      </c>
      <c r="R34" s="14">
        <v>1734140.25</v>
      </c>
      <c r="S34" s="14">
        <v>647092.84</v>
      </c>
      <c r="T34" s="14">
        <v>4241827.22</v>
      </c>
      <c r="U34" s="14">
        <v>313593.73</v>
      </c>
      <c r="V34" s="14"/>
      <c r="W34" s="14">
        <f t="shared" si="2"/>
        <v>149012764.88999996</v>
      </c>
      <c r="X34" s="28">
        <f>W34-'RZiS 31.12.2018'!C37</f>
        <v>0</v>
      </c>
    </row>
    <row r="35" spans="1:24">
      <c r="A35" s="274" t="s">
        <v>351</v>
      </c>
      <c r="B35" s="275"/>
      <c r="C35" s="14">
        <v>16317614.939999999</v>
      </c>
      <c r="D35" s="14">
        <v>0</v>
      </c>
      <c r="E35" s="14">
        <v>0</v>
      </c>
      <c r="F35" s="14">
        <v>25158.36</v>
      </c>
      <c r="G35" s="14">
        <v>183626.16</v>
      </c>
      <c r="H35" s="14">
        <v>0</v>
      </c>
      <c r="I35" s="14">
        <v>0</v>
      </c>
      <c r="J35" s="14">
        <v>6851.37</v>
      </c>
      <c r="K35" s="14">
        <v>0</v>
      </c>
      <c r="L35" s="14">
        <v>394909.21</v>
      </c>
      <c r="M35" s="14">
        <v>469938.81</v>
      </c>
      <c r="N35" s="14">
        <v>0</v>
      </c>
      <c r="O35" s="14">
        <v>1588008</v>
      </c>
      <c r="P35" s="14">
        <v>0</v>
      </c>
      <c r="Q35" s="14">
        <v>883359.31</v>
      </c>
      <c r="R35" s="14">
        <v>1455530.42</v>
      </c>
      <c r="S35" s="14">
        <v>625312.59</v>
      </c>
      <c r="T35" s="14">
        <v>40960792.68</v>
      </c>
      <c r="U35" s="14">
        <v>17367.189999999999</v>
      </c>
      <c r="V35" s="14"/>
      <c r="W35" s="14">
        <f t="shared" si="2"/>
        <v>62928469.039999992</v>
      </c>
      <c r="X35" s="28">
        <f>W35-'RZiS 31.12.2018'!C38</f>
        <v>0</v>
      </c>
    </row>
    <row r="36" spans="1:24" s="22" customFormat="1">
      <c r="A36" s="276" t="s">
        <v>352</v>
      </c>
      <c r="B36" s="277"/>
      <c r="C36" s="10">
        <v>238851209.81</v>
      </c>
      <c r="D36" s="10">
        <v>556082.51</v>
      </c>
      <c r="E36" s="10">
        <v>1539662.25</v>
      </c>
      <c r="F36" s="10">
        <v>1708615.64</v>
      </c>
      <c r="G36" s="10">
        <v>4110120.35</v>
      </c>
      <c r="H36" s="10">
        <v>32533.919999999998</v>
      </c>
      <c r="I36" s="10">
        <v>11556648.52</v>
      </c>
      <c r="J36" s="10">
        <v>1659498.54</v>
      </c>
      <c r="K36" s="10">
        <v>1415774.2</v>
      </c>
      <c r="L36" s="10">
        <v>15205.79</v>
      </c>
      <c r="M36" s="10">
        <v>1519353.17</v>
      </c>
      <c r="N36" s="10">
        <v>134136.60999999999</v>
      </c>
      <c r="O36" s="10">
        <v>2574223.23</v>
      </c>
      <c r="P36" s="10">
        <v>213933.27</v>
      </c>
      <c r="Q36" s="10">
        <v>1018733.29</v>
      </c>
      <c r="R36" s="10">
        <v>3023350.37</v>
      </c>
      <c r="S36" s="10">
        <v>12491.1</v>
      </c>
      <c r="T36" s="10">
        <v>45382196.310000002</v>
      </c>
      <c r="U36" s="10">
        <v>5624.05</v>
      </c>
      <c r="V36" s="10">
        <f>SUM(V37:V38)</f>
        <v>0</v>
      </c>
      <c r="W36" s="10">
        <f>SUM(W37:W38)</f>
        <v>315329392.92999995</v>
      </c>
      <c r="X36" s="21">
        <f>W36-'RZiS 31.12.2018'!C39</f>
        <v>0</v>
      </c>
    </row>
    <row r="37" spans="1:24">
      <c r="A37" s="274" t="s">
        <v>353</v>
      </c>
      <c r="B37" s="275"/>
      <c r="C37" s="14">
        <v>220343187.58000001</v>
      </c>
      <c r="D37" s="14">
        <v>0</v>
      </c>
      <c r="E37" s="14">
        <v>521185.9</v>
      </c>
      <c r="F37" s="14">
        <v>825205.63</v>
      </c>
      <c r="G37" s="14">
        <v>29870.6</v>
      </c>
      <c r="H37" s="14">
        <v>9019.41</v>
      </c>
      <c r="I37" s="14">
        <v>1657305.26</v>
      </c>
      <c r="J37" s="14">
        <v>0</v>
      </c>
      <c r="K37" s="14">
        <v>0</v>
      </c>
      <c r="L37" s="14">
        <v>15205.79</v>
      </c>
      <c r="M37" s="14">
        <v>23081.919999999998</v>
      </c>
      <c r="N37" s="14">
        <v>0</v>
      </c>
      <c r="O37" s="14">
        <v>1000905.23</v>
      </c>
      <c r="P37" s="14">
        <v>903.21</v>
      </c>
      <c r="Q37" s="14">
        <v>0</v>
      </c>
      <c r="R37" s="14">
        <v>0</v>
      </c>
      <c r="S37" s="14">
        <v>11283.79</v>
      </c>
      <c r="T37" s="14">
        <v>24894</v>
      </c>
      <c r="U37" s="14">
        <v>0</v>
      </c>
      <c r="V37" s="14"/>
      <c r="W37" s="14">
        <f t="shared" si="2"/>
        <v>224462048.31999996</v>
      </c>
      <c r="X37" s="28">
        <f>W37-'RZiS 31.12.2018'!C40</f>
        <v>0</v>
      </c>
    </row>
    <row r="38" spans="1:24">
      <c r="A38" s="274" t="s">
        <v>354</v>
      </c>
      <c r="B38" s="275"/>
      <c r="C38" s="14">
        <v>18508022.23</v>
      </c>
      <c r="D38" s="14">
        <v>556082.51</v>
      </c>
      <c r="E38" s="14">
        <v>1018476.35</v>
      </c>
      <c r="F38" s="14">
        <v>883410.01</v>
      </c>
      <c r="G38" s="14">
        <v>4080249.75</v>
      </c>
      <c r="H38" s="14">
        <v>23514.51</v>
      </c>
      <c r="I38" s="14">
        <v>9899343.2599999998</v>
      </c>
      <c r="J38" s="14">
        <v>1659498.54</v>
      </c>
      <c r="K38" s="14">
        <v>1415774.2</v>
      </c>
      <c r="L38" s="14">
        <v>0</v>
      </c>
      <c r="M38" s="14">
        <v>1496271.25</v>
      </c>
      <c r="N38" s="14">
        <v>134136.60999999999</v>
      </c>
      <c r="O38" s="14">
        <v>1573318</v>
      </c>
      <c r="P38" s="14">
        <v>213030.06</v>
      </c>
      <c r="Q38" s="14">
        <v>1018733.29</v>
      </c>
      <c r="R38" s="14">
        <v>3023350.37</v>
      </c>
      <c r="S38" s="14">
        <v>1207.31</v>
      </c>
      <c r="T38" s="14">
        <v>45357302.310000002</v>
      </c>
      <c r="U38" s="14">
        <v>5624.05</v>
      </c>
      <c r="V38" s="14"/>
      <c r="W38" s="14">
        <f t="shared" si="2"/>
        <v>90867344.609999999</v>
      </c>
      <c r="X38" s="28">
        <f>W38-'RZiS 31.12.2018'!C41</f>
        <v>0</v>
      </c>
    </row>
    <row r="39" spans="1:24" s="22" customFormat="1" ht="14.25" customHeight="1">
      <c r="A39" s="276" t="s">
        <v>355</v>
      </c>
      <c r="B39" s="277"/>
      <c r="C39" s="10">
        <v>10375343634.85</v>
      </c>
      <c r="D39" s="10">
        <v>-78127272.959999993</v>
      </c>
      <c r="E39" s="10">
        <v>-81680080.680000007</v>
      </c>
      <c r="F39" s="10">
        <v>-88721496.519999996</v>
      </c>
      <c r="G39" s="10">
        <v>-51013343.659999996</v>
      </c>
      <c r="H39" s="10">
        <v>8167087.9199999999</v>
      </c>
      <c r="I39" s="10">
        <v>-75117104.079999998</v>
      </c>
      <c r="J39" s="10">
        <v>-78535228.689999998</v>
      </c>
      <c r="K39" s="10">
        <v>-30371034.030000001</v>
      </c>
      <c r="L39" s="10">
        <v>119183638.37</v>
      </c>
      <c r="M39" s="10">
        <v>-67335580.390000001</v>
      </c>
      <c r="N39" s="10">
        <v>-59417116.090000004</v>
      </c>
      <c r="O39" s="10">
        <v>-30928984.23</v>
      </c>
      <c r="P39" s="10">
        <v>-61459381.590000004</v>
      </c>
      <c r="Q39" s="10">
        <v>-37585757.640000001</v>
      </c>
      <c r="R39" s="10">
        <v>-44520179.710000001</v>
      </c>
      <c r="S39" s="10">
        <v>-8243846.3899999997</v>
      </c>
      <c r="T39" s="10">
        <v>27703308.739999998</v>
      </c>
      <c r="U39" s="10">
        <v>-140854.10999999999</v>
      </c>
      <c r="V39" s="10">
        <f>V31+V32-V36</f>
        <v>0</v>
      </c>
      <c r="W39" s="10">
        <f>W31+W32-W36</f>
        <v>9737200409.1099987</v>
      </c>
      <c r="X39" s="21">
        <f>W39-'RZiS 31.12.2018'!C42</f>
        <v>0</v>
      </c>
    </row>
    <row r="40" spans="1:24" s="22" customFormat="1" ht="14.25" customHeight="1">
      <c r="A40" s="276" t="s">
        <v>356</v>
      </c>
      <c r="B40" s="277"/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  <c r="V40" s="10"/>
      <c r="W40" s="10">
        <f t="shared" si="2"/>
        <v>0</v>
      </c>
      <c r="X40" s="28">
        <f>W40-'RZiS 31.12.2018'!C43</f>
        <v>0</v>
      </c>
    </row>
    <row r="41" spans="1:24" s="22" customFormat="1" ht="15" customHeight="1">
      <c r="A41" s="276" t="s">
        <v>357</v>
      </c>
      <c r="B41" s="277"/>
      <c r="C41" s="10">
        <v>0</v>
      </c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0</v>
      </c>
      <c r="P41" s="10">
        <v>0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10"/>
      <c r="W41" s="10">
        <f t="shared" si="2"/>
        <v>0</v>
      </c>
      <c r="X41" s="28">
        <f>W41-'RZiS 31.12.2018'!C44</f>
        <v>0</v>
      </c>
    </row>
    <row r="42" spans="1:24" s="22" customFormat="1" ht="15" customHeight="1">
      <c r="A42" s="278" t="s">
        <v>358</v>
      </c>
      <c r="B42" s="279"/>
      <c r="C42" s="10">
        <v>10375343634.85</v>
      </c>
      <c r="D42" s="10">
        <v>-78127272.959999993</v>
      </c>
      <c r="E42" s="10">
        <v>-81680080.680000007</v>
      </c>
      <c r="F42" s="10">
        <v>-88721496.519999996</v>
      </c>
      <c r="G42" s="10">
        <v>-51013343.659999996</v>
      </c>
      <c r="H42" s="10">
        <v>8167087.9199999999</v>
      </c>
      <c r="I42" s="10">
        <v>-75117104.079999998</v>
      </c>
      <c r="J42" s="10">
        <v>-78535228.689999998</v>
      </c>
      <c r="K42" s="10">
        <v>-30371034.030000001</v>
      </c>
      <c r="L42" s="10">
        <v>119183638.37</v>
      </c>
      <c r="M42" s="10">
        <v>-67335580.390000001</v>
      </c>
      <c r="N42" s="10">
        <v>-59417116.090000004</v>
      </c>
      <c r="O42" s="10">
        <v>-30928984.23</v>
      </c>
      <c r="P42" s="10">
        <v>-61459381.590000004</v>
      </c>
      <c r="Q42" s="10">
        <v>-37585757.640000001</v>
      </c>
      <c r="R42" s="10">
        <v>-44520179.710000001</v>
      </c>
      <c r="S42" s="10">
        <v>-8243846.3899999997</v>
      </c>
      <c r="T42" s="10">
        <v>27703308.739999998</v>
      </c>
      <c r="U42" s="10">
        <v>-140854.10999999999</v>
      </c>
      <c r="V42" s="10">
        <f>V39-V40-V41</f>
        <v>0</v>
      </c>
      <c r="W42" s="10">
        <f>W39-W40-W41</f>
        <v>9737200409.1099987</v>
      </c>
      <c r="X42" s="21">
        <f>W42-'RZiS 31.12.2018'!C45</f>
        <v>0</v>
      </c>
    </row>
    <row r="44" spans="1:24">
      <c r="C44" s="18">
        <f>C42-'Pasywa BO'!C36</f>
        <v>0</v>
      </c>
      <c r="D44" s="18">
        <f>D42-'Pasywa BO'!D36</f>
        <v>0</v>
      </c>
      <c r="E44" s="18">
        <f>E42-'Pasywa BO'!E36</f>
        <v>0</v>
      </c>
      <c r="F44" s="18">
        <f>F42-'Pasywa BO'!F36</f>
        <v>0</v>
      </c>
      <c r="G44" s="18">
        <f>G42-'Pasywa BO'!G36</f>
        <v>0</v>
      </c>
      <c r="H44" s="18">
        <f>H42-'Pasywa BO'!H36</f>
        <v>0</v>
      </c>
      <c r="I44" s="18">
        <f>I42-'Pasywa BO'!I36</f>
        <v>0</v>
      </c>
      <c r="J44" s="18">
        <f>J42-'Pasywa BO'!J36</f>
        <v>0</v>
      </c>
      <c r="K44" s="18">
        <f>K42-'Pasywa BO'!K36</f>
        <v>0</v>
      </c>
      <c r="L44" s="18">
        <f>L42-'Pasywa BO'!L36</f>
        <v>0</v>
      </c>
      <c r="M44" s="18">
        <f>M42-'Pasywa BO'!M36</f>
        <v>0</v>
      </c>
      <c r="N44" s="18">
        <f>N42-'Pasywa BO'!N36</f>
        <v>0</v>
      </c>
      <c r="O44" s="18">
        <f>O42-'Pasywa BO'!O36</f>
        <v>0</v>
      </c>
      <c r="P44" s="18">
        <f>P42-'Pasywa BO'!P36</f>
        <v>0</v>
      </c>
      <c r="Q44" s="18">
        <f>Q42-'Pasywa BO'!Q36</f>
        <v>0</v>
      </c>
      <c r="R44" s="18">
        <f>R42-'Pasywa BO'!R36</f>
        <v>0</v>
      </c>
      <c r="S44" s="18">
        <f>S42-'Pasywa BO'!S36</f>
        <v>0</v>
      </c>
      <c r="T44" s="18">
        <f>T42-'Pasywa BO'!T36</f>
        <v>0</v>
      </c>
      <c r="U44" s="18">
        <f>U42-'Pasywa BO'!U36</f>
        <v>0</v>
      </c>
      <c r="V44" s="18">
        <f>V42-'Pasywa BO'!V36</f>
        <v>0</v>
      </c>
      <c r="W44" s="18">
        <f>W42-'Pasywa BO'!W36</f>
        <v>0</v>
      </c>
    </row>
  </sheetData>
  <mergeCells count="38">
    <mergeCell ref="A41:B41"/>
    <mergeCell ref="A42:B42"/>
    <mergeCell ref="A35:B35"/>
    <mergeCell ref="A36:B36"/>
    <mergeCell ref="A37:B37"/>
    <mergeCell ref="A38:B38"/>
    <mergeCell ref="A39:B39"/>
    <mergeCell ref="A40:B40"/>
    <mergeCell ref="A34:B34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10:B10"/>
    <mergeCell ref="A5:B5"/>
    <mergeCell ref="A6:B6"/>
    <mergeCell ref="A7:B7"/>
    <mergeCell ref="A8:B8"/>
    <mergeCell ref="A9:B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2"/>
  <sheetViews>
    <sheetView workbookViewId="0">
      <pane xSplit="2" ySplit="2" topLeftCell="M15" activePane="bottomRight" state="frozen"/>
      <selection activeCell="B47" sqref="B47"/>
      <selection pane="topRight" activeCell="B47" sqref="B47"/>
      <selection pane="bottomLeft" activeCell="B47" sqref="B47"/>
      <selection pane="bottomRight" activeCell="B47" sqref="B47"/>
    </sheetView>
  </sheetViews>
  <sheetFormatPr defaultRowHeight="15"/>
  <cols>
    <col min="1" max="1" width="5.140625" bestFit="1" customWidth="1"/>
    <col min="2" max="2" width="41.140625" bestFit="1" customWidth="1"/>
    <col min="3" max="22" width="17.85546875" customWidth="1"/>
    <col min="23" max="23" width="19.5703125" bestFit="1" customWidth="1"/>
    <col min="24" max="24" width="17" bestFit="1" customWidth="1"/>
  </cols>
  <sheetData>
    <row r="1" spans="1:24">
      <c r="B1" s="17">
        <v>43101</v>
      </c>
    </row>
    <row r="2" spans="1:24" ht="21">
      <c r="B2" s="17">
        <v>43591</v>
      </c>
      <c r="C2" s="44" t="s">
        <v>82</v>
      </c>
      <c r="D2" s="44" t="s">
        <v>83</v>
      </c>
      <c r="E2" s="44" t="s">
        <v>84</v>
      </c>
      <c r="F2" s="44" t="s">
        <v>85</v>
      </c>
      <c r="G2" s="44" t="s">
        <v>86</v>
      </c>
      <c r="H2" s="44" t="s">
        <v>87</v>
      </c>
      <c r="I2" s="44" t="s">
        <v>88</v>
      </c>
      <c r="J2" s="44" t="s">
        <v>89</v>
      </c>
      <c r="K2" s="44" t="s">
        <v>90</v>
      </c>
      <c r="L2" s="44" t="s">
        <v>91</v>
      </c>
      <c r="M2" s="44" t="s">
        <v>92</v>
      </c>
      <c r="N2" s="44" t="s">
        <v>93</v>
      </c>
      <c r="O2" s="44" t="s">
        <v>94</v>
      </c>
      <c r="P2" s="44" t="s">
        <v>95</v>
      </c>
      <c r="Q2" s="44" t="s">
        <v>96</v>
      </c>
      <c r="R2" s="44" t="s">
        <v>97</v>
      </c>
      <c r="S2" s="44" t="s">
        <v>98</v>
      </c>
      <c r="T2" s="44" t="s">
        <v>99</v>
      </c>
      <c r="U2" s="44" t="s">
        <v>100</v>
      </c>
      <c r="V2" s="44" t="s">
        <v>162</v>
      </c>
      <c r="W2" s="44" t="s">
        <v>204</v>
      </c>
    </row>
    <row r="3" spans="1:24" s="22" customFormat="1">
      <c r="A3" s="282" t="s">
        <v>206</v>
      </c>
      <c r="B3" s="283"/>
      <c r="C3" s="10">
        <v>-1419282463.0799999</v>
      </c>
      <c r="D3" s="10">
        <v>3445574214.6999998</v>
      </c>
      <c r="E3" s="10">
        <v>2758235335.7199998</v>
      </c>
      <c r="F3" s="10">
        <v>2796341413.8600001</v>
      </c>
      <c r="G3" s="10">
        <v>21503850232.889999</v>
      </c>
      <c r="H3" s="10">
        <v>4848736688.5200005</v>
      </c>
      <c r="I3" s="10">
        <v>6020126417</v>
      </c>
      <c r="J3" s="10">
        <v>628710748.70000005</v>
      </c>
      <c r="K3" s="10">
        <v>301456259.50999999</v>
      </c>
      <c r="L3" s="10">
        <v>18837448697.84</v>
      </c>
      <c r="M3" s="10">
        <v>2771131319.6900001</v>
      </c>
      <c r="N3" s="10">
        <v>854640641.25</v>
      </c>
      <c r="O3" s="10">
        <v>6982939186.7600002</v>
      </c>
      <c r="P3" s="10">
        <v>1029998335.38</v>
      </c>
      <c r="Q3" s="10">
        <v>697346004.94000006</v>
      </c>
      <c r="R3" s="10">
        <v>1412126850.8</v>
      </c>
      <c r="S3" s="10">
        <v>658524741.15999997</v>
      </c>
      <c r="T3" s="10">
        <v>10753670083.719999</v>
      </c>
      <c r="U3" s="10">
        <v>3239287934.3800001</v>
      </c>
      <c r="V3" s="10"/>
      <c r="W3" s="10">
        <f>SUM(C3:V3)</f>
        <v>88120862643.740021</v>
      </c>
      <c r="X3" s="31">
        <f>W3-'ZZwFJ 31.12.2018'!C7</f>
        <v>0</v>
      </c>
    </row>
    <row r="4" spans="1:24" s="22" customFormat="1">
      <c r="A4" s="282" t="s">
        <v>207</v>
      </c>
      <c r="B4" s="283"/>
      <c r="C4" s="10">
        <v>11803044664.709999</v>
      </c>
      <c r="D4" s="10">
        <v>420543672.69999999</v>
      </c>
      <c r="E4" s="10">
        <v>411892913.86000001</v>
      </c>
      <c r="F4" s="10">
        <v>489958775.43000001</v>
      </c>
      <c r="G4" s="10">
        <v>1437308623.1300001</v>
      </c>
      <c r="H4" s="10">
        <v>135649198.09</v>
      </c>
      <c r="I4" s="10">
        <v>680435372.24000001</v>
      </c>
      <c r="J4" s="10">
        <v>112334227.79000001</v>
      </c>
      <c r="K4" s="10">
        <v>77148286.739999995</v>
      </c>
      <c r="L4" s="10">
        <v>511489660.44999999</v>
      </c>
      <c r="M4" s="10">
        <v>393579591.30000001</v>
      </c>
      <c r="N4" s="10">
        <v>255537856.88</v>
      </c>
      <c r="O4" s="10">
        <v>812162429.60000002</v>
      </c>
      <c r="P4" s="10">
        <v>260792770.99000001</v>
      </c>
      <c r="Q4" s="10">
        <v>97253409.890000001</v>
      </c>
      <c r="R4" s="10">
        <v>349913342.38</v>
      </c>
      <c r="S4" s="10">
        <v>138366256.53999999</v>
      </c>
      <c r="T4" s="10">
        <v>467939496.68000001</v>
      </c>
      <c r="U4" s="10">
        <v>117661793.27</v>
      </c>
      <c r="V4" s="10">
        <f>SUM(V5:V14)</f>
        <v>-6074061.6900000013</v>
      </c>
      <c r="W4" s="10">
        <f>SUM(W5:W14)</f>
        <v>18966938280.980003</v>
      </c>
      <c r="X4" s="31">
        <f>W4-'ZZwFJ 31.12.2018'!C8</f>
        <v>0</v>
      </c>
    </row>
    <row r="5" spans="1:24">
      <c r="A5" s="280" t="s">
        <v>208</v>
      </c>
      <c r="B5" s="281"/>
      <c r="C5" s="14">
        <v>8701267660.4500008</v>
      </c>
      <c r="D5" s="14">
        <v>0</v>
      </c>
      <c r="E5" s="14">
        <v>0</v>
      </c>
      <c r="F5" s="14">
        <v>0</v>
      </c>
      <c r="G5" s="14">
        <v>37448709.259999998</v>
      </c>
      <c r="H5" s="14">
        <v>0</v>
      </c>
      <c r="I5" s="14">
        <v>15893798.939999999</v>
      </c>
      <c r="J5" s="14">
        <v>0</v>
      </c>
      <c r="K5" s="14">
        <v>0</v>
      </c>
      <c r="L5" s="14">
        <v>126900732.44</v>
      </c>
      <c r="M5" s="14">
        <v>0</v>
      </c>
      <c r="N5" s="14">
        <v>0</v>
      </c>
      <c r="O5" s="14">
        <v>0</v>
      </c>
      <c r="P5" s="14">
        <v>0</v>
      </c>
      <c r="Q5" s="14">
        <v>0</v>
      </c>
      <c r="R5" s="14">
        <v>0</v>
      </c>
      <c r="S5" s="14">
        <v>3043991.71</v>
      </c>
      <c r="T5" s="14">
        <v>8356408.8499999996</v>
      </c>
      <c r="U5" s="14">
        <v>0</v>
      </c>
      <c r="V5" s="14"/>
      <c r="W5" s="14">
        <f t="shared" ref="W5:W14" si="0">SUM(C5:V5)</f>
        <v>8892911301.6500015</v>
      </c>
      <c r="X5" s="34">
        <f>W5-'ZZwFJ 31.12.2018'!C9</f>
        <v>0</v>
      </c>
    </row>
    <row r="6" spans="1:24">
      <c r="A6" s="280" t="s">
        <v>209</v>
      </c>
      <c r="B6" s="281"/>
      <c r="C6" s="14">
        <v>2977367158.4200001</v>
      </c>
      <c r="D6" s="14">
        <v>183905172.25</v>
      </c>
      <c r="E6" s="14">
        <v>280311063.55000001</v>
      </c>
      <c r="F6" s="14">
        <v>200379697.88</v>
      </c>
      <c r="G6" s="14">
        <v>306021270.43000001</v>
      </c>
      <c r="H6" s="14">
        <v>123407878.12</v>
      </c>
      <c r="I6" s="14">
        <v>259883332.78</v>
      </c>
      <c r="J6" s="14">
        <v>104232719.5</v>
      </c>
      <c r="K6" s="14">
        <v>57676311.060000002</v>
      </c>
      <c r="L6" s="14">
        <v>180838967.91999999</v>
      </c>
      <c r="M6" s="14">
        <v>207003605.06</v>
      </c>
      <c r="N6" s="14">
        <v>161251313.12</v>
      </c>
      <c r="O6" s="14">
        <v>295552088.23000002</v>
      </c>
      <c r="P6" s="14">
        <v>159349371.69999999</v>
      </c>
      <c r="Q6" s="14">
        <v>68909936.920000002</v>
      </c>
      <c r="R6" s="14">
        <v>129699953.86</v>
      </c>
      <c r="S6" s="14">
        <v>101204491.54000001</v>
      </c>
      <c r="T6" s="14">
        <v>204198255.16999999</v>
      </c>
      <c r="U6" s="14">
        <v>87676884.090000004</v>
      </c>
      <c r="V6" s="14"/>
      <c r="W6" s="14">
        <f t="shared" si="0"/>
        <v>6088869471.6000013</v>
      </c>
      <c r="X6" s="34">
        <f>W6-'ZZwFJ 31.12.2018'!C10</f>
        <v>0</v>
      </c>
    </row>
    <row r="7" spans="1:24">
      <c r="A7" s="280" t="s">
        <v>210</v>
      </c>
      <c r="B7" s="281"/>
      <c r="C7" s="14">
        <v>0</v>
      </c>
      <c r="D7" s="14">
        <v>0</v>
      </c>
      <c r="E7" s="14"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14">
        <v>0</v>
      </c>
      <c r="Q7" s="14">
        <v>0</v>
      </c>
      <c r="R7" s="14">
        <v>0</v>
      </c>
      <c r="S7" s="14">
        <v>0</v>
      </c>
      <c r="T7" s="14">
        <v>0</v>
      </c>
      <c r="U7" s="14">
        <v>0</v>
      </c>
      <c r="V7" s="14"/>
      <c r="W7" s="14">
        <f t="shared" si="0"/>
        <v>0</v>
      </c>
      <c r="X7" s="34">
        <f>W7-'ZZwFJ 31.12.2018'!C11</f>
        <v>0</v>
      </c>
    </row>
    <row r="8" spans="1:24">
      <c r="A8" s="280" t="s">
        <v>211</v>
      </c>
      <c r="B8" s="281"/>
      <c r="C8" s="14">
        <v>33301801.239999998</v>
      </c>
      <c r="D8" s="14">
        <v>23577139.73</v>
      </c>
      <c r="E8" s="14">
        <v>60452435.600000001</v>
      </c>
      <c r="F8" s="14">
        <v>32741287.940000001</v>
      </c>
      <c r="G8" s="14">
        <v>33332585.579999998</v>
      </c>
      <c r="H8" s="14">
        <v>11719943.25</v>
      </c>
      <c r="I8" s="14">
        <v>32817041.699999999</v>
      </c>
      <c r="J8" s="14">
        <v>8095700.29</v>
      </c>
      <c r="K8" s="14">
        <v>8080874.9500000002</v>
      </c>
      <c r="L8" s="14">
        <v>14908744.060000001</v>
      </c>
      <c r="M8" s="14">
        <v>34602260.060000002</v>
      </c>
      <c r="N8" s="14">
        <v>52037353.770000003</v>
      </c>
      <c r="O8" s="14">
        <v>67017260.280000001</v>
      </c>
      <c r="P8" s="14">
        <v>28058559.23</v>
      </c>
      <c r="Q8" s="14">
        <v>17173615.920000002</v>
      </c>
      <c r="R8" s="14">
        <v>34693086.450000003</v>
      </c>
      <c r="S8" s="14">
        <v>21928246.93</v>
      </c>
      <c r="T8" s="14">
        <v>23110305.780000001</v>
      </c>
      <c r="U8" s="14">
        <v>20851965.18</v>
      </c>
      <c r="V8" s="14"/>
      <c r="W8" s="14">
        <f t="shared" si="0"/>
        <v>558500207.93999994</v>
      </c>
      <c r="X8" s="34">
        <f>W8-'ZZwFJ 31.12.2018'!C12</f>
        <v>0</v>
      </c>
    </row>
    <row r="9" spans="1:24">
      <c r="A9" s="280" t="s">
        <v>212</v>
      </c>
      <c r="B9" s="281"/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4">
        <v>0</v>
      </c>
      <c r="Q9" s="14">
        <v>0</v>
      </c>
      <c r="R9" s="14">
        <v>0</v>
      </c>
      <c r="S9" s="14">
        <v>0</v>
      </c>
      <c r="T9" s="14">
        <v>0</v>
      </c>
      <c r="U9" s="14">
        <v>0</v>
      </c>
      <c r="V9" s="14"/>
      <c r="W9" s="14">
        <f t="shared" si="0"/>
        <v>0</v>
      </c>
      <c r="X9" s="34">
        <f>W9-'ZZwFJ 31.12.2018'!C13</f>
        <v>0</v>
      </c>
    </row>
    <row r="10" spans="1:24" ht="50.25" customHeight="1">
      <c r="A10" s="280" t="s">
        <v>213</v>
      </c>
      <c r="B10" s="281"/>
      <c r="C10" s="14">
        <v>28803342.609999999</v>
      </c>
      <c r="D10" s="14">
        <v>984.45</v>
      </c>
      <c r="E10" s="14">
        <v>13984739.66</v>
      </c>
      <c r="F10" s="14">
        <v>125291.5</v>
      </c>
      <c r="G10" s="14">
        <v>0</v>
      </c>
      <c r="H10" s="14">
        <v>402803.93</v>
      </c>
      <c r="I10" s="14">
        <v>773090.47</v>
      </c>
      <c r="J10" s="14">
        <v>2496.64</v>
      </c>
      <c r="K10" s="14">
        <v>188580.73</v>
      </c>
      <c r="L10" s="14">
        <v>86738.07</v>
      </c>
      <c r="M10" s="14">
        <v>0</v>
      </c>
      <c r="N10" s="14">
        <v>0</v>
      </c>
      <c r="O10" s="14">
        <v>33635.35</v>
      </c>
      <c r="P10" s="14">
        <v>72066341.260000005</v>
      </c>
      <c r="Q10" s="14">
        <v>13157.5</v>
      </c>
      <c r="R10" s="14">
        <v>514612.92</v>
      </c>
      <c r="S10" s="14">
        <v>0</v>
      </c>
      <c r="T10" s="14">
        <v>183468.2</v>
      </c>
      <c r="U10" s="14">
        <v>336005.41</v>
      </c>
      <c r="V10" s="14">
        <f>-[3]Razem!$C$28</f>
        <v>-1463700.6900000002</v>
      </c>
      <c r="W10" s="14">
        <f t="shared" si="0"/>
        <v>116051588.01000001</v>
      </c>
      <c r="X10" s="34">
        <f>W10-'ZZwFJ 31.12.2018'!C14</f>
        <v>0</v>
      </c>
    </row>
    <row r="11" spans="1:24" ht="29.25" customHeight="1">
      <c r="A11" s="280" t="s">
        <v>214</v>
      </c>
      <c r="B11" s="281"/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4">
        <v>0</v>
      </c>
      <c r="T11" s="14">
        <v>0</v>
      </c>
      <c r="U11" s="14">
        <v>0</v>
      </c>
      <c r="V11" s="14"/>
      <c r="W11" s="14">
        <f t="shared" si="0"/>
        <v>0</v>
      </c>
      <c r="X11" s="34">
        <f>W11-'ZZwFJ 31.12.2018'!C15</f>
        <v>0</v>
      </c>
    </row>
    <row r="12" spans="1:24">
      <c r="A12" s="280" t="s">
        <v>215</v>
      </c>
      <c r="B12" s="281"/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/>
      <c r="W12" s="14">
        <f t="shared" si="0"/>
        <v>0</v>
      </c>
      <c r="X12" s="34">
        <f>W12-'ZZwFJ 31.12.2018'!C16</f>
        <v>0</v>
      </c>
    </row>
    <row r="13" spans="1:24" ht="29.25" customHeight="1">
      <c r="A13" s="280" t="s">
        <v>216</v>
      </c>
      <c r="B13" s="281"/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14">
        <v>0</v>
      </c>
      <c r="T13" s="14">
        <v>0</v>
      </c>
      <c r="U13" s="14">
        <v>0</v>
      </c>
      <c r="V13" s="14"/>
      <c r="W13" s="14">
        <f t="shared" si="0"/>
        <v>0</v>
      </c>
      <c r="X13" s="34">
        <f>W13-'ZZwFJ 31.12.2018'!C17</f>
        <v>0</v>
      </c>
    </row>
    <row r="14" spans="1:24">
      <c r="A14" s="280" t="s">
        <v>217</v>
      </c>
      <c r="B14" s="281"/>
      <c r="C14" s="14">
        <v>62304701.990000002</v>
      </c>
      <c r="D14" s="14">
        <v>213060376.27000001</v>
      </c>
      <c r="E14" s="14">
        <v>57144675.049999997</v>
      </c>
      <c r="F14" s="14">
        <v>256712498.11000001</v>
      </c>
      <c r="G14" s="14">
        <v>1060506057.86</v>
      </c>
      <c r="H14" s="14">
        <v>118572.79</v>
      </c>
      <c r="I14" s="14">
        <v>371068108.35000002</v>
      </c>
      <c r="J14" s="14">
        <v>3311.36</v>
      </c>
      <c r="K14" s="14">
        <v>11202520</v>
      </c>
      <c r="L14" s="14">
        <v>188754477.96000001</v>
      </c>
      <c r="M14" s="14">
        <v>151973726.18000001</v>
      </c>
      <c r="N14" s="14">
        <v>42249189.990000002</v>
      </c>
      <c r="O14" s="14">
        <v>449559445.74000001</v>
      </c>
      <c r="P14" s="14">
        <v>1318498.8</v>
      </c>
      <c r="Q14" s="14">
        <v>11156699.550000001</v>
      </c>
      <c r="R14" s="14">
        <v>185005689.15000001</v>
      </c>
      <c r="S14" s="14">
        <v>12189526.359999999</v>
      </c>
      <c r="T14" s="14">
        <v>232091058.68000001</v>
      </c>
      <c r="U14" s="14">
        <v>8796938.5899999999</v>
      </c>
      <c r="V14" s="14">
        <f>-[3]Razem!$C$30</f>
        <v>-4610361.0000000009</v>
      </c>
      <c r="W14" s="14">
        <f t="shared" si="0"/>
        <v>3310605711.7800002</v>
      </c>
      <c r="X14" s="34">
        <f>W14-'ZZwFJ 31.12.2018'!C18</f>
        <v>0</v>
      </c>
    </row>
    <row r="15" spans="1:24" s="22" customFormat="1">
      <c r="A15" s="282" t="s">
        <v>218</v>
      </c>
      <c r="B15" s="283"/>
      <c r="C15" s="10">
        <v>13327399276.41</v>
      </c>
      <c r="D15" s="10">
        <v>326011213.66000003</v>
      </c>
      <c r="E15" s="10">
        <v>246994804.81999999</v>
      </c>
      <c r="F15" s="10">
        <v>232456753.5</v>
      </c>
      <c r="G15" s="10">
        <v>550560838.07000005</v>
      </c>
      <c r="H15" s="10">
        <v>131347668.29000001</v>
      </c>
      <c r="I15" s="10">
        <v>276116454.93000001</v>
      </c>
      <c r="J15" s="10">
        <v>107435855.56</v>
      </c>
      <c r="K15" s="10">
        <v>70004834.040000007</v>
      </c>
      <c r="L15" s="10">
        <v>10990387015.379999</v>
      </c>
      <c r="M15" s="10">
        <v>224088525.99000001</v>
      </c>
      <c r="N15" s="10">
        <v>208441493.36000001</v>
      </c>
      <c r="O15" s="10">
        <v>576550061.25999999</v>
      </c>
      <c r="P15" s="10">
        <v>160311077.41</v>
      </c>
      <c r="Q15" s="10">
        <v>114866006.45999999</v>
      </c>
      <c r="R15" s="10">
        <v>222675647.83000001</v>
      </c>
      <c r="S15" s="10">
        <v>123432625.86</v>
      </c>
      <c r="T15" s="10">
        <v>238370745.94</v>
      </c>
      <c r="U15" s="10">
        <v>123767896.91</v>
      </c>
      <c r="V15" s="10">
        <f>SUM(V16:V24)</f>
        <v>-6074061.6900000013</v>
      </c>
      <c r="W15" s="10">
        <f>SUM(W16:W24)</f>
        <v>28245144733.989998</v>
      </c>
      <c r="X15" s="31">
        <f>W15-'ZZwFJ 31.12.2018'!C19</f>
        <v>0</v>
      </c>
    </row>
    <row r="16" spans="1:24">
      <c r="A16" s="280" t="s">
        <v>219</v>
      </c>
      <c r="B16" s="281"/>
      <c r="C16" s="14">
        <v>0</v>
      </c>
      <c r="D16" s="14">
        <v>57902373.539999999</v>
      </c>
      <c r="E16" s="14">
        <v>29688349.579999998</v>
      </c>
      <c r="F16" s="14">
        <v>53389400.939999998</v>
      </c>
      <c r="G16" s="14">
        <v>0</v>
      </c>
      <c r="H16" s="14">
        <v>4837603.17</v>
      </c>
      <c r="I16" s="14">
        <v>0</v>
      </c>
      <c r="J16" s="14">
        <v>46296346.549999997</v>
      </c>
      <c r="K16" s="14">
        <v>32689691.280000001</v>
      </c>
      <c r="L16" s="14">
        <v>0</v>
      </c>
      <c r="M16" s="14">
        <v>59509034.549999997</v>
      </c>
      <c r="N16" s="14">
        <v>52394402.539999999</v>
      </c>
      <c r="O16" s="14">
        <v>145666526.97</v>
      </c>
      <c r="P16" s="14">
        <v>45428928.659999996</v>
      </c>
      <c r="Q16" s="14">
        <v>31364622.370000001</v>
      </c>
      <c r="R16" s="14">
        <v>31493322.329999998</v>
      </c>
      <c r="S16" s="14">
        <v>0</v>
      </c>
      <c r="T16" s="14">
        <v>0</v>
      </c>
      <c r="U16" s="14">
        <v>8426499.3800000008</v>
      </c>
      <c r="V16" s="14"/>
      <c r="W16" s="14">
        <f t="shared" ref="W16:W24" si="1">SUM(C16:V16)</f>
        <v>599087101.86000001</v>
      </c>
      <c r="X16" s="34">
        <f>W16-'ZZwFJ 31.12.2018'!C20</f>
        <v>0</v>
      </c>
    </row>
    <row r="17" spans="1:24">
      <c r="A17" s="280" t="s">
        <v>220</v>
      </c>
      <c r="B17" s="281"/>
      <c r="C17" s="14">
        <v>11743719090.940001</v>
      </c>
      <c r="D17" s="14">
        <v>56024913.479999997</v>
      </c>
      <c r="E17" s="14">
        <v>71793673.069999993</v>
      </c>
      <c r="F17" s="14">
        <v>53531798.100000001</v>
      </c>
      <c r="G17" s="14">
        <v>257501668.55000001</v>
      </c>
      <c r="H17" s="14">
        <v>75736395.629999995</v>
      </c>
      <c r="I17" s="14">
        <v>100824683.5</v>
      </c>
      <c r="J17" s="14">
        <v>32790742.800000001</v>
      </c>
      <c r="K17" s="14">
        <v>16241135.35</v>
      </c>
      <c r="L17" s="14">
        <v>243316279.28</v>
      </c>
      <c r="M17" s="14">
        <v>67245574.180000007</v>
      </c>
      <c r="N17" s="14">
        <v>28022758.25</v>
      </c>
      <c r="O17" s="14">
        <v>100226641.29000001</v>
      </c>
      <c r="P17" s="14">
        <v>35889057.869999997</v>
      </c>
      <c r="Q17" s="14">
        <v>8036219.54</v>
      </c>
      <c r="R17" s="14">
        <v>23137243.75</v>
      </c>
      <c r="S17" s="14">
        <v>66026104.579999998</v>
      </c>
      <c r="T17" s="14">
        <v>148913191.58000001</v>
      </c>
      <c r="U17" s="14">
        <v>56008693.630000003</v>
      </c>
      <c r="V17" s="14"/>
      <c r="W17" s="14">
        <f t="shared" si="1"/>
        <v>13184985865.370001</v>
      </c>
      <c r="X17" s="34">
        <f>W17-'ZZwFJ 31.12.2018'!C21</f>
        <v>0</v>
      </c>
    </row>
    <row r="18" spans="1:24">
      <c r="A18" s="280" t="s">
        <v>221</v>
      </c>
      <c r="B18" s="281"/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4">
        <v>0</v>
      </c>
      <c r="Q18" s="14">
        <v>0</v>
      </c>
      <c r="R18" s="14">
        <v>0</v>
      </c>
      <c r="S18" s="14">
        <v>0</v>
      </c>
      <c r="T18" s="14">
        <v>0</v>
      </c>
      <c r="U18" s="14">
        <v>0</v>
      </c>
      <c r="V18" s="14"/>
      <c r="W18" s="14">
        <f t="shared" si="1"/>
        <v>0</v>
      </c>
      <c r="X18" s="34">
        <f>W18-'ZZwFJ 31.12.2018'!C22</f>
        <v>0</v>
      </c>
    </row>
    <row r="19" spans="1:24">
      <c r="A19" s="280" t="s">
        <v>222</v>
      </c>
      <c r="B19" s="281"/>
      <c r="C19" s="14">
        <v>1465859731</v>
      </c>
      <c r="D19" s="14">
        <v>62298815.450000003</v>
      </c>
      <c r="E19" s="14">
        <v>133030756.51000001</v>
      </c>
      <c r="F19" s="14">
        <v>72153566.129999995</v>
      </c>
      <c r="G19" s="14">
        <v>117419053.79000001</v>
      </c>
      <c r="H19" s="14">
        <v>42710299.170000002</v>
      </c>
      <c r="I19" s="14">
        <v>79995583.439999998</v>
      </c>
      <c r="J19" s="14">
        <v>22017767.739999998</v>
      </c>
      <c r="K19" s="14">
        <v>17574688.620000001</v>
      </c>
      <c r="L19" s="14">
        <v>73136294.810000002</v>
      </c>
      <c r="M19" s="14">
        <v>79732539.329999998</v>
      </c>
      <c r="N19" s="14">
        <v>80943511.269999996</v>
      </c>
      <c r="O19" s="14">
        <v>140083045.49000001</v>
      </c>
      <c r="P19" s="14">
        <v>68929534.319999993</v>
      </c>
      <c r="Q19" s="14">
        <v>31253677.899999999</v>
      </c>
      <c r="R19" s="14">
        <v>69896601.170000002</v>
      </c>
      <c r="S19" s="14">
        <v>46958643.479999997</v>
      </c>
      <c r="T19" s="14">
        <v>76563244.359999999</v>
      </c>
      <c r="U19" s="14">
        <v>33224024.850000001</v>
      </c>
      <c r="V19" s="14"/>
      <c r="W19" s="14">
        <f t="shared" si="1"/>
        <v>2713781378.8300004</v>
      </c>
      <c r="X19" s="34">
        <f>W19-'ZZwFJ 31.12.2018'!C23</f>
        <v>0</v>
      </c>
    </row>
    <row r="20" spans="1:24">
      <c r="A20" s="280" t="s">
        <v>277</v>
      </c>
      <c r="B20" s="281"/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4">
        <v>0</v>
      </c>
      <c r="T20" s="14">
        <v>0</v>
      </c>
      <c r="U20" s="14">
        <v>0</v>
      </c>
      <c r="V20" s="14"/>
      <c r="W20" s="14">
        <f t="shared" si="1"/>
        <v>0</v>
      </c>
      <c r="X20" s="34">
        <f>W20-'ZZwFJ 31.12.2018'!C24</f>
        <v>0</v>
      </c>
    </row>
    <row r="21" spans="1:24" ht="23.25" customHeight="1">
      <c r="A21" s="280" t="s">
        <v>224</v>
      </c>
      <c r="B21" s="281"/>
      <c r="C21" s="14">
        <v>3773399.59</v>
      </c>
      <c r="D21" s="14">
        <v>885924.78</v>
      </c>
      <c r="E21" s="14">
        <v>1553259</v>
      </c>
      <c r="F21" s="14">
        <v>20304413.539999999</v>
      </c>
      <c r="G21" s="14">
        <v>43206880.009999998</v>
      </c>
      <c r="H21" s="14">
        <v>0</v>
      </c>
      <c r="I21" s="14">
        <v>5395005.5999999996</v>
      </c>
      <c r="J21" s="14">
        <v>0</v>
      </c>
      <c r="K21" s="14">
        <v>1145081.08</v>
      </c>
      <c r="L21" s="14">
        <v>1088569.3899999999</v>
      </c>
      <c r="M21" s="14">
        <v>4043876.21</v>
      </c>
      <c r="N21" s="14">
        <v>0</v>
      </c>
      <c r="O21" s="14">
        <v>1306350.8400000001</v>
      </c>
      <c r="P21" s="14">
        <v>3913401.48</v>
      </c>
      <c r="Q21" s="14">
        <v>651135.78</v>
      </c>
      <c r="R21" s="14">
        <v>5501770.7199999997</v>
      </c>
      <c r="S21" s="14">
        <v>0</v>
      </c>
      <c r="T21" s="14">
        <v>0</v>
      </c>
      <c r="U21" s="14">
        <v>25244905.420000002</v>
      </c>
      <c r="V21" s="14">
        <f>-[3]Razem!$C$32</f>
        <v>-1463700.6900000002</v>
      </c>
      <c r="W21" s="14">
        <f t="shared" si="1"/>
        <v>116550272.75</v>
      </c>
      <c r="X21" s="34">
        <f>W21-'ZZwFJ 31.12.2018'!C25</f>
        <v>0</v>
      </c>
    </row>
    <row r="22" spans="1:24" ht="22.5" customHeight="1">
      <c r="A22" s="280" t="s">
        <v>225</v>
      </c>
      <c r="B22" s="281"/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  <c r="T22" s="14">
        <v>0</v>
      </c>
      <c r="U22" s="14">
        <v>0</v>
      </c>
      <c r="V22" s="14"/>
      <c r="W22" s="14">
        <f t="shared" si="1"/>
        <v>0</v>
      </c>
      <c r="X22" s="34">
        <f>W22-'ZZwFJ 31.12.2018'!C26</f>
        <v>0</v>
      </c>
    </row>
    <row r="23" spans="1:24">
      <c r="A23" s="280" t="s">
        <v>226</v>
      </c>
      <c r="B23" s="281"/>
      <c r="C23" s="14">
        <v>88592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14">
        <v>0</v>
      </c>
      <c r="U23" s="14">
        <v>0</v>
      </c>
      <c r="V23" s="14"/>
      <c r="W23" s="14">
        <f t="shared" si="1"/>
        <v>88592</v>
      </c>
      <c r="X23" s="34">
        <f>W23-'ZZwFJ 31.12.2018'!C27</f>
        <v>0</v>
      </c>
    </row>
    <row r="24" spans="1:24">
      <c r="A24" s="280" t="s">
        <v>227</v>
      </c>
      <c r="B24" s="281"/>
      <c r="C24" s="14">
        <v>113958462.88</v>
      </c>
      <c r="D24" s="14">
        <v>148899186.41</v>
      </c>
      <c r="E24" s="14">
        <v>10928766.66</v>
      </c>
      <c r="F24" s="14">
        <v>33077574.789999999</v>
      </c>
      <c r="G24" s="14">
        <v>132433235.72</v>
      </c>
      <c r="H24" s="14">
        <v>8063370.3200000003</v>
      </c>
      <c r="I24" s="14">
        <v>89901182.390000001</v>
      </c>
      <c r="J24" s="14">
        <v>6330998.4699999997</v>
      </c>
      <c r="K24" s="14">
        <v>2354237.71</v>
      </c>
      <c r="L24" s="14">
        <v>10672845871.9</v>
      </c>
      <c r="M24" s="14">
        <v>13557501.720000001</v>
      </c>
      <c r="N24" s="14">
        <v>47080821.299999997</v>
      </c>
      <c r="O24" s="14">
        <v>189267496.66999999</v>
      </c>
      <c r="P24" s="14">
        <v>6150155.0800000001</v>
      </c>
      <c r="Q24" s="14">
        <v>43560350.869999997</v>
      </c>
      <c r="R24" s="14">
        <v>92646709.859999999</v>
      </c>
      <c r="S24" s="14">
        <v>10447877.800000001</v>
      </c>
      <c r="T24" s="14">
        <v>12894310</v>
      </c>
      <c r="U24" s="14">
        <v>863773.63</v>
      </c>
      <c r="V24" s="14">
        <f>-[3]Razem!$C$34</f>
        <v>-4610361.0000000009</v>
      </c>
      <c r="W24" s="14">
        <f t="shared" si="1"/>
        <v>11630651523.179998</v>
      </c>
      <c r="X24" s="34">
        <f>W24-'ZZwFJ 31.12.2018'!C28</f>
        <v>0</v>
      </c>
    </row>
    <row r="25" spans="1:24" s="22" customFormat="1">
      <c r="A25" s="282" t="s">
        <v>228</v>
      </c>
      <c r="B25" s="283"/>
      <c r="C25" s="10">
        <v>-2943637074.7800002</v>
      </c>
      <c r="D25" s="10">
        <v>3540106673.7399998</v>
      </c>
      <c r="E25" s="10">
        <v>2923133444.7600002</v>
      </c>
      <c r="F25" s="10">
        <v>3053843435.79</v>
      </c>
      <c r="G25" s="10">
        <v>22390598017.950001</v>
      </c>
      <c r="H25" s="10">
        <v>4853038218.3199997</v>
      </c>
      <c r="I25" s="10">
        <v>6424445334.3100004</v>
      </c>
      <c r="J25" s="10">
        <v>633609120.92999995</v>
      </c>
      <c r="K25" s="10">
        <v>308599712.20999998</v>
      </c>
      <c r="L25" s="10">
        <v>8358551342.9099998</v>
      </c>
      <c r="M25" s="10">
        <v>2940622385</v>
      </c>
      <c r="N25" s="10">
        <v>901737004.76999998</v>
      </c>
      <c r="O25" s="10">
        <v>7218551555.1000004</v>
      </c>
      <c r="P25" s="10">
        <v>1130480028.96</v>
      </c>
      <c r="Q25" s="10">
        <v>679733408.37</v>
      </c>
      <c r="R25" s="10">
        <v>1539364545.3499999</v>
      </c>
      <c r="S25" s="10">
        <v>673458371.84000003</v>
      </c>
      <c r="T25" s="10">
        <v>10983238834.459999</v>
      </c>
      <c r="U25" s="10">
        <v>3233181830.7399998</v>
      </c>
      <c r="V25" s="10">
        <f>V3+V4-V15</f>
        <v>0</v>
      </c>
      <c r="W25" s="10">
        <f>W3+W4-W15</f>
        <v>78842656190.730042</v>
      </c>
      <c r="X25" s="31">
        <f>W25-'ZZwFJ 31.12.2018'!C29</f>
        <v>0</v>
      </c>
    </row>
    <row r="26" spans="1:24" s="22" customFormat="1">
      <c r="A26" s="282" t="s">
        <v>278</v>
      </c>
      <c r="B26" s="283"/>
      <c r="C26" s="10">
        <v>10375343634.85</v>
      </c>
      <c r="D26" s="10">
        <v>-78127272.959999993</v>
      </c>
      <c r="E26" s="10">
        <v>-81680080.680000007</v>
      </c>
      <c r="F26" s="10">
        <v>-88721496.519999996</v>
      </c>
      <c r="G26" s="10">
        <v>-51013343.659999996</v>
      </c>
      <c r="H26" s="10">
        <v>8167087.9199999999</v>
      </c>
      <c r="I26" s="10">
        <v>-75117104.079999998</v>
      </c>
      <c r="J26" s="10">
        <v>-78535228.689999998</v>
      </c>
      <c r="K26" s="10">
        <v>-30371034.030000001</v>
      </c>
      <c r="L26" s="10">
        <v>119183638.37</v>
      </c>
      <c r="M26" s="10">
        <v>-67335580.390000001</v>
      </c>
      <c r="N26" s="10">
        <v>-59417116.090000004</v>
      </c>
      <c r="O26" s="10">
        <v>-30928984.23</v>
      </c>
      <c r="P26" s="10">
        <v>-61459381.590000004</v>
      </c>
      <c r="Q26" s="10">
        <v>-37585757.640000001</v>
      </c>
      <c r="R26" s="10">
        <v>-44520179.710000001</v>
      </c>
      <c r="S26" s="10">
        <v>-8243846.3899999997</v>
      </c>
      <c r="T26" s="10">
        <v>27703308.739999998</v>
      </c>
      <c r="U26" s="10">
        <v>-140854.10999999999</v>
      </c>
      <c r="V26" s="10">
        <f>V27+V28-V29</f>
        <v>0</v>
      </c>
      <c r="W26" s="10">
        <f>W27+W28-W29</f>
        <v>9737200409.1100006</v>
      </c>
      <c r="X26" s="31">
        <f>W26-'ZZwFJ 31.12.2018'!C30</f>
        <v>0</v>
      </c>
    </row>
    <row r="27" spans="1:24">
      <c r="A27" s="280" t="s">
        <v>230</v>
      </c>
      <c r="B27" s="281"/>
      <c r="C27" s="14">
        <v>10375343634.85</v>
      </c>
      <c r="D27" s="14">
        <v>0</v>
      </c>
      <c r="E27" s="14">
        <v>0</v>
      </c>
      <c r="F27" s="14">
        <v>0</v>
      </c>
      <c r="G27" s="14">
        <v>0</v>
      </c>
      <c r="H27" s="14">
        <v>8167087.9199999999</v>
      </c>
      <c r="I27" s="14">
        <v>0</v>
      </c>
      <c r="J27" s="14">
        <v>0</v>
      </c>
      <c r="K27" s="14">
        <v>0</v>
      </c>
      <c r="L27" s="14">
        <v>119183638.37</v>
      </c>
      <c r="M27" s="14">
        <v>0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  <c r="S27" s="14">
        <v>0</v>
      </c>
      <c r="T27" s="14">
        <v>27703308.739999998</v>
      </c>
      <c r="U27" s="14">
        <v>0</v>
      </c>
      <c r="V27" s="14"/>
      <c r="W27" s="14">
        <f t="shared" ref="W27:W29" si="2">SUM(C27:V27)</f>
        <v>10530397669.880001</v>
      </c>
      <c r="X27" s="34">
        <f>W27-'ZZwFJ 31.12.2018'!C31</f>
        <v>793197260.77000237</v>
      </c>
    </row>
    <row r="28" spans="1:24">
      <c r="A28" s="280" t="s">
        <v>231</v>
      </c>
      <c r="B28" s="281"/>
      <c r="C28" s="14">
        <v>0</v>
      </c>
      <c r="D28" s="14">
        <v>-78127272.959999993</v>
      </c>
      <c r="E28" s="14">
        <v>-81680080.680000007</v>
      </c>
      <c r="F28" s="14">
        <v>-88721496.519999996</v>
      </c>
      <c r="G28" s="14">
        <v>-51013343.659999996</v>
      </c>
      <c r="H28" s="14">
        <v>0</v>
      </c>
      <c r="I28" s="42">
        <v>-75117104.079999998</v>
      </c>
      <c r="J28" s="14">
        <v>-78535228.689999998</v>
      </c>
      <c r="K28" s="14">
        <v>-30371034.030000001</v>
      </c>
      <c r="L28" s="14">
        <v>0</v>
      </c>
      <c r="M28" s="14">
        <v>-67335580.390000001</v>
      </c>
      <c r="N28" s="14">
        <v>-59417116.090000004</v>
      </c>
      <c r="O28" s="14">
        <v>-30928984.23</v>
      </c>
      <c r="P28" s="14">
        <v>-61459381.590000004</v>
      </c>
      <c r="Q28" s="14">
        <v>-37585757.640000001</v>
      </c>
      <c r="R28" s="14">
        <v>-44520179.710000001</v>
      </c>
      <c r="S28" s="14">
        <v>-8243846.3899999997</v>
      </c>
      <c r="T28" s="14">
        <v>0</v>
      </c>
      <c r="U28" s="14">
        <v>-140854.10999999999</v>
      </c>
      <c r="V28" s="14"/>
      <c r="W28" s="14">
        <f t="shared" si="2"/>
        <v>-793197260.76999998</v>
      </c>
      <c r="X28" s="34">
        <f>W28-'ZZwFJ 31.12.2018'!C32</f>
        <v>-793197260.76999998</v>
      </c>
    </row>
    <row r="29" spans="1:24">
      <c r="A29" s="280" t="s">
        <v>232</v>
      </c>
      <c r="B29" s="281"/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14">
        <v>0</v>
      </c>
      <c r="T29" s="14">
        <v>0</v>
      </c>
      <c r="U29" s="14">
        <v>0</v>
      </c>
      <c r="V29" s="14"/>
      <c r="W29" s="14">
        <f t="shared" si="2"/>
        <v>0</v>
      </c>
      <c r="X29" s="34">
        <f>W29-'ZZwFJ 31.12.2018'!C33</f>
        <v>0</v>
      </c>
    </row>
    <row r="30" spans="1:24" s="22" customFormat="1">
      <c r="A30" s="282" t="s">
        <v>279</v>
      </c>
      <c r="B30" s="283"/>
      <c r="C30" s="10">
        <v>7431706560.0699997</v>
      </c>
      <c r="D30" s="10">
        <v>3461979400.7800002</v>
      </c>
      <c r="E30" s="10">
        <v>2841453364.0799999</v>
      </c>
      <c r="F30" s="10">
        <v>2965121939.27</v>
      </c>
      <c r="G30" s="10">
        <v>22339584674.290001</v>
      </c>
      <c r="H30" s="10">
        <v>4861205306.2399998</v>
      </c>
      <c r="I30" s="10">
        <v>6349328230.2299995</v>
      </c>
      <c r="J30" s="10">
        <v>555073892.24000001</v>
      </c>
      <c r="K30" s="10">
        <v>278228678.18000001</v>
      </c>
      <c r="L30" s="10">
        <v>8477734981.2799997</v>
      </c>
      <c r="M30" s="10">
        <v>2873286804.6100001</v>
      </c>
      <c r="N30" s="10">
        <v>842319888.67999995</v>
      </c>
      <c r="O30" s="10">
        <v>7187622570.8699999</v>
      </c>
      <c r="P30" s="10">
        <v>1069020647.37</v>
      </c>
      <c r="Q30" s="10">
        <v>642147650.73000002</v>
      </c>
      <c r="R30" s="10">
        <v>1494844365.6400001</v>
      </c>
      <c r="S30" s="10">
        <v>665214525.45000005</v>
      </c>
      <c r="T30" s="10">
        <v>11010942143.200001</v>
      </c>
      <c r="U30" s="10">
        <v>3233040976.6300001</v>
      </c>
      <c r="V30" s="10">
        <f>V25+V26</f>
        <v>0</v>
      </c>
      <c r="W30" s="10">
        <f>W25+W26</f>
        <v>88579856599.840042</v>
      </c>
      <c r="X30" s="31">
        <f>W30-'ZZwFJ 31.12.2018'!C34</f>
        <v>0</v>
      </c>
    </row>
    <row r="32" spans="1:24">
      <c r="B32" s="89" t="s">
        <v>280</v>
      </c>
      <c r="C32" s="24">
        <f>C27+C28-'RZiS BO'!C42</f>
        <v>0</v>
      </c>
      <c r="D32" s="24">
        <f>D27+D28-'RZiS BO'!D42</f>
        <v>0</v>
      </c>
      <c r="E32" s="24">
        <f>E27+E28-'RZiS BO'!E42</f>
        <v>0</v>
      </c>
      <c r="F32" s="24">
        <f>F27+F28-'RZiS BO'!F42</f>
        <v>0</v>
      </c>
      <c r="G32" s="24">
        <f>G27+G28-'RZiS BO'!G42</f>
        <v>0</v>
      </c>
      <c r="H32" s="24">
        <f>H27+H28-'RZiS BO'!H42</f>
        <v>0</v>
      </c>
      <c r="I32" s="24">
        <f>I27+I28-'RZiS BO'!I42</f>
        <v>0</v>
      </c>
      <c r="J32" s="24">
        <f>J27+J28-'RZiS BO'!J42</f>
        <v>0</v>
      </c>
      <c r="K32" s="24">
        <f>K27+K28-'RZiS BO'!K42</f>
        <v>0</v>
      </c>
      <c r="L32" s="24">
        <f>L27+L28-'RZiS BO'!L42</f>
        <v>0</v>
      </c>
      <c r="M32" s="24">
        <f>M27+M28-'RZiS BO'!M42</f>
        <v>0</v>
      </c>
      <c r="N32" s="24">
        <f>N27+N28-'RZiS BO'!N42</f>
        <v>0</v>
      </c>
      <c r="O32" s="24">
        <f>O27+O28-'RZiS BO'!O42</f>
        <v>0</v>
      </c>
      <c r="P32" s="24">
        <f>P27+P28-'RZiS BO'!P42</f>
        <v>0</v>
      </c>
      <c r="Q32" s="24">
        <f>Q27+Q28-'RZiS BO'!Q42</f>
        <v>0</v>
      </c>
      <c r="R32" s="24">
        <f>R27+R28-'RZiS BO'!R42</f>
        <v>0</v>
      </c>
      <c r="S32" s="24">
        <f>S27+S28-'RZiS BO'!S42</f>
        <v>0</v>
      </c>
      <c r="T32" s="24">
        <f>T27+T28-'RZiS BO'!T42</f>
        <v>0</v>
      </c>
      <c r="U32" s="24">
        <f>U27+U28-'RZiS BO'!U42</f>
        <v>0</v>
      </c>
      <c r="V32" s="24">
        <f>V27+V28-'RZiS BO'!V42</f>
        <v>0</v>
      </c>
      <c r="W32" s="24">
        <f>W27+W28-'RZiS BO'!W42</f>
        <v>0</v>
      </c>
    </row>
  </sheetData>
  <mergeCells count="28">
    <mergeCell ref="A27:B27"/>
    <mergeCell ref="A28:B28"/>
    <mergeCell ref="A29:B29"/>
    <mergeCell ref="A30:B30"/>
    <mergeCell ref="A21:B21"/>
    <mergeCell ref="A22:B22"/>
    <mergeCell ref="A23:B23"/>
    <mergeCell ref="A24:B24"/>
    <mergeCell ref="A25:B25"/>
    <mergeCell ref="A26:B26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8:B8"/>
    <mergeCell ref="A3:B3"/>
    <mergeCell ref="A4:B4"/>
    <mergeCell ref="A5:B5"/>
    <mergeCell ref="A6:B6"/>
    <mergeCell ref="A7:B7"/>
  </mergeCells>
  <conditionalFormatting sqref="A32 C32:XFD32">
    <cfRule type="cellIs" dxfId="10" priority="2" operator="notEqual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4"/>
  <sheetViews>
    <sheetView workbookViewId="0">
      <pane xSplit="1" ySplit="2" topLeftCell="B24" activePane="bottomRight" state="frozen"/>
      <selection activeCell="B47" sqref="B47"/>
      <selection pane="topRight" activeCell="B47" sqref="B47"/>
      <selection pane="bottomLeft" activeCell="B47" sqref="B47"/>
      <selection pane="bottomRight" activeCell="B47" sqref="B47"/>
    </sheetView>
  </sheetViews>
  <sheetFormatPr defaultRowHeight="15"/>
  <cols>
    <col min="1" max="1" width="41.140625" bestFit="1" customWidth="1"/>
    <col min="2" max="20" width="17.85546875" customWidth="1"/>
    <col min="21" max="21" width="16.28515625" bestFit="1" customWidth="1"/>
    <col min="22" max="22" width="18.28515625" bestFit="1" customWidth="1"/>
    <col min="23" max="23" width="14.28515625" customWidth="1"/>
  </cols>
  <sheetData>
    <row r="1" spans="1:23">
      <c r="A1" s="4" t="s">
        <v>201</v>
      </c>
      <c r="B1" s="5">
        <v>43591</v>
      </c>
    </row>
    <row r="2" spans="1:23" s="7" customFormat="1" ht="21">
      <c r="A2" s="6" t="s">
        <v>81</v>
      </c>
      <c r="B2" s="6" t="s">
        <v>82</v>
      </c>
      <c r="C2" s="6" t="s">
        <v>83</v>
      </c>
      <c r="D2" s="6" t="s">
        <v>84</v>
      </c>
      <c r="E2" s="6" t="s">
        <v>85</v>
      </c>
      <c r="F2" s="6" t="s">
        <v>86</v>
      </c>
      <c r="G2" s="6" t="s">
        <v>87</v>
      </c>
      <c r="H2" s="6" t="s">
        <v>88</v>
      </c>
      <c r="I2" s="6" t="s">
        <v>89</v>
      </c>
      <c r="J2" s="6" t="s">
        <v>90</v>
      </c>
      <c r="K2" s="6" t="s">
        <v>91</v>
      </c>
      <c r="L2" s="6" t="s">
        <v>92</v>
      </c>
      <c r="M2" s="6" t="s">
        <v>93</v>
      </c>
      <c r="N2" s="6" t="s">
        <v>94</v>
      </c>
      <c r="O2" s="6" t="s">
        <v>95</v>
      </c>
      <c r="P2" s="6" t="s">
        <v>96</v>
      </c>
      <c r="Q2" s="6" t="s">
        <v>97</v>
      </c>
      <c r="R2" s="6" t="s">
        <v>98</v>
      </c>
      <c r="S2" s="6" t="s">
        <v>99</v>
      </c>
      <c r="T2" s="6" t="s">
        <v>100</v>
      </c>
      <c r="U2" s="6" t="s">
        <v>162</v>
      </c>
      <c r="V2" s="6" t="s">
        <v>3</v>
      </c>
    </row>
    <row r="3" spans="1:23" s="11" customFormat="1" ht="14.25">
      <c r="A3" s="20" t="s">
        <v>5</v>
      </c>
      <c r="B3" s="10">
        <v>5037345334.8100004</v>
      </c>
      <c r="C3" s="10">
        <v>653927999.19000006</v>
      </c>
      <c r="D3" s="10">
        <v>826117992.64999998</v>
      </c>
      <c r="E3" s="10">
        <v>780740864.83000004</v>
      </c>
      <c r="F3" s="10">
        <v>1681407410.54</v>
      </c>
      <c r="G3" s="10">
        <v>471421453.55000001</v>
      </c>
      <c r="H3" s="10">
        <v>677949391.41999996</v>
      </c>
      <c r="I3" s="10">
        <v>175502278.34</v>
      </c>
      <c r="J3" s="10">
        <v>211434473.06999999</v>
      </c>
      <c r="K3" s="10">
        <v>1296727590.4100001</v>
      </c>
      <c r="L3" s="10">
        <v>472120079.29000002</v>
      </c>
      <c r="M3" s="10">
        <v>397835616.45999998</v>
      </c>
      <c r="N3" s="10">
        <v>803787694.80999994</v>
      </c>
      <c r="O3" s="10">
        <v>423176499.41000003</v>
      </c>
      <c r="P3" s="10">
        <v>258893277.75</v>
      </c>
      <c r="Q3" s="10">
        <v>658074977.13999999</v>
      </c>
      <c r="R3" s="10">
        <v>331063950.31</v>
      </c>
      <c r="S3" s="10">
        <v>495905509.91000003</v>
      </c>
      <c r="T3" s="10">
        <v>392840478.82999998</v>
      </c>
      <c r="U3" s="10">
        <f>U4+U5+U15+U16+U20+U21</f>
        <v>-734288.3</v>
      </c>
      <c r="V3" s="10">
        <f>V4+V5+V15+V16+V20+V21</f>
        <v>16045538584.42</v>
      </c>
      <c r="W3" s="35">
        <f>V3-'Bilans 31.12.2018'!C8</f>
        <v>0</v>
      </c>
    </row>
    <row r="4" spans="1:23" s="11" customFormat="1" ht="14.25">
      <c r="A4" s="20" t="s">
        <v>6</v>
      </c>
      <c r="B4" s="10">
        <v>14918228.25</v>
      </c>
      <c r="C4" s="10">
        <v>0</v>
      </c>
      <c r="D4" s="10">
        <v>59448.52</v>
      </c>
      <c r="E4" s="10">
        <v>0</v>
      </c>
      <c r="F4" s="10">
        <v>0</v>
      </c>
      <c r="G4" s="10">
        <v>9942.94</v>
      </c>
      <c r="H4" s="10">
        <v>0</v>
      </c>
      <c r="I4" s="10">
        <v>0</v>
      </c>
      <c r="J4" s="10">
        <v>0</v>
      </c>
      <c r="K4" s="10">
        <v>0</v>
      </c>
      <c r="L4" s="10">
        <v>0</v>
      </c>
      <c r="M4" s="10">
        <v>110460.16</v>
      </c>
      <c r="N4" s="10">
        <v>31274.7</v>
      </c>
      <c r="O4" s="10">
        <v>0</v>
      </c>
      <c r="P4" s="10">
        <v>0</v>
      </c>
      <c r="Q4" s="10">
        <v>0</v>
      </c>
      <c r="R4" s="10">
        <v>4728.63</v>
      </c>
      <c r="S4" s="10">
        <v>183304.39</v>
      </c>
      <c r="T4" s="10">
        <v>15876.93</v>
      </c>
      <c r="U4" s="10">
        <v>0</v>
      </c>
      <c r="V4" s="10">
        <f>SUM(B4:U4)</f>
        <v>15333264.52</v>
      </c>
      <c r="W4" s="35">
        <f>V4-'Bilans 31.12.2018'!C9</f>
        <v>0</v>
      </c>
    </row>
    <row r="5" spans="1:23" s="11" customFormat="1" ht="14.25">
      <c r="A5" s="20" t="s">
        <v>8</v>
      </c>
      <c r="B5" s="10">
        <v>267545404.28999999</v>
      </c>
      <c r="C5" s="10">
        <v>651285542.62</v>
      </c>
      <c r="D5" s="10">
        <v>805688542.02999997</v>
      </c>
      <c r="E5" s="10">
        <v>774931933.12</v>
      </c>
      <c r="F5" s="10">
        <v>1667896255.72</v>
      </c>
      <c r="G5" s="10">
        <v>453682643.42000002</v>
      </c>
      <c r="H5" s="10">
        <v>668287210.48000002</v>
      </c>
      <c r="I5" s="10">
        <v>171615968.25</v>
      </c>
      <c r="J5" s="10">
        <v>202797039.78999999</v>
      </c>
      <c r="K5" s="10">
        <v>1280604105.9100001</v>
      </c>
      <c r="L5" s="10">
        <v>462364381.11000001</v>
      </c>
      <c r="M5" s="10">
        <v>394536942.85000002</v>
      </c>
      <c r="N5" s="10">
        <v>788564367.38</v>
      </c>
      <c r="O5" s="10">
        <v>408879292.14999998</v>
      </c>
      <c r="P5" s="10">
        <v>255885138.22999999</v>
      </c>
      <c r="Q5" s="10">
        <v>655185527.14999998</v>
      </c>
      <c r="R5" s="10">
        <v>324598971.76999998</v>
      </c>
      <c r="S5" s="10">
        <v>489334197.33999997</v>
      </c>
      <c r="T5" s="10">
        <v>388966065.57999998</v>
      </c>
      <c r="U5" s="10">
        <f>U6+U13+U14</f>
        <v>0</v>
      </c>
      <c r="V5" s="10">
        <f>V6+V13+V14</f>
        <v>11112649529.190001</v>
      </c>
      <c r="W5" s="35">
        <f>V5-'Bilans 31.12.2018'!C10</f>
        <v>0</v>
      </c>
    </row>
    <row r="6" spans="1:23" s="7" customFormat="1">
      <c r="A6" s="23" t="s">
        <v>9</v>
      </c>
      <c r="B6" s="14">
        <v>252031564.93000001</v>
      </c>
      <c r="C6" s="14">
        <v>570161553.89999998</v>
      </c>
      <c r="D6" s="14">
        <v>690709267.70000005</v>
      </c>
      <c r="E6" s="14">
        <v>694384505.12</v>
      </c>
      <c r="F6" s="14">
        <v>1558527608.6400001</v>
      </c>
      <c r="G6" s="14">
        <v>412407206.01999998</v>
      </c>
      <c r="H6" s="14">
        <v>630128002.58000004</v>
      </c>
      <c r="I6" s="14">
        <v>152172996.52000001</v>
      </c>
      <c r="J6" s="14">
        <v>192819224.81999999</v>
      </c>
      <c r="K6" s="14">
        <v>1261798578.5699999</v>
      </c>
      <c r="L6" s="14">
        <v>376694885.06999999</v>
      </c>
      <c r="M6" s="14">
        <v>313116829.98000002</v>
      </c>
      <c r="N6" s="14">
        <v>655732870.67999995</v>
      </c>
      <c r="O6" s="14">
        <v>355073557.23000002</v>
      </c>
      <c r="P6" s="14">
        <v>235394337.00999999</v>
      </c>
      <c r="Q6" s="14">
        <v>621878797.75</v>
      </c>
      <c r="R6" s="14">
        <v>281556959.81</v>
      </c>
      <c r="S6" s="14">
        <v>454825181.67000002</v>
      </c>
      <c r="T6" s="14">
        <v>381007339.91000003</v>
      </c>
      <c r="U6" s="14"/>
      <c r="V6" s="14">
        <f>SUM(V7:V12)-V8</f>
        <v>10090421267.91</v>
      </c>
      <c r="W6" s="35">
        <f>V6-'Bilans 31.12.2018'!C11</f>
        <v>0</v>
      </c>
    </row>
    <row r="7" spans="1:23" s="7" customFormat="1">
      <c r="A7" s="23" t="s">
        <v>11</v>
      </c>
      <c r="B7" s="14">
        <v>44784107.75</v>
      </c>
      <c r="C7" s="14">
        <v>434407901.79000002</v>
      </c>
      <c r="D7" s="14">
        <v>458766655.69</v>
      </c>
      <c r="E7" s="14">
        <v>533939880.02999997</v>
      </c>
      <c r="F7" s="14">
        <v>1500193778.72</v>
      </c>
      <c r="G7" s="14">
        <v>289188162.26999998</v>
      </c>
      <c r="H7" s="14">
        <v>396670345.25999999</v>
      </c>
      <c r="I7" s="14">
        <v>131124175.34999999</v>
      </c>
      <c r="J7" s="14">
        <v>115964525.48999999</v>
      </c>
      <c r="K7" s="14">
        <v>1245249364.4000001</v>
      </c>
      <c r="L7" s="14">
        <v>267483051.44999999</v>
      </c>
      <c r="M7" s="14">
        <v>199911723.31</v>
      </c>
      <c r="N7" s="14">
        <v>408108836.67000002</v>
      </c>
      <c r="O7" s="14">
        <v>263308627.34</v>
      </c>
      <c r="P7" s="14">
        <v>110402556.22</v>
      </c>
      <c r="Q7" s="14">
        <v>454508610.69</v>
      </c>
      <c r="R7" s="14">
        <v>172671118.88</v>
      </c>
      <c r="S7" s="14">
        <v>361253799.54000002</v>
      </c>
      <c r="T7" s="14">
        <v>291363135.87</v>
      </c>
      <c r="U7" s="14"/>
      <c r="V7" s="14">
        <f t="shared" ref="V7:V15" si="0">SUM(B7:U7)</f>
        <v>7679300356.7200003</v>
      </c>
      <c r="W7" s="35">
        <f>V7-'Bilans 31.12.2018'!C12</f>
        <v>0</v>
      </c>
    </row>
    <row r="8" spans="1:23" s="7" customFormat="1" ht="45">
      <c r="A8" s="23" t="s">
        <v>13</v>
      </c>
      <c r="B8" s="14">
        <v>5901884.79</v>
      </c>
      <c r="C8" s="14">
        <v>9692660.6500000004</v>
      </c>
      <c r="D8" s="14">
        <v>6510998.2699999996</v>
      </c>
      <c r="E8" s="14">
        <v>14348641.91</v>
      </c>
      <c r="F8" s="14">
        <v>54990952.329999998</v>
      </c>
      <c r="G8" s="14">
        <v>4813557.7300000004</v>
      </c>
      <c r="H8" s="14">
        <v>38693652.579999998</v>
      </c>
      <c r="I8" s="14">
        <v>1246668.21</v>
      </c>
      <c r="J8" s="14">
        <v>4898993.96</v>
      </c>
      <c r="K8" s="14">
        <v>63091545.030000001</v>
      </c>
      <c r="L8" s="14">
        <v>9755185.1699999999</v>
      </c>
      <c r="M8" s="14">
        <v>1432123.65</v>
      </c>
      <c r="N8" s="14">
        <v>27957480.510000002</v>
      </c>
      <c r="O8" s="14">
        <v>2059932.28</v>
      </c>
      <c r="P8" s="14">
        <v>296846.28999999998</v>
      </c>
      <c r="Q8" s="14">
        <v>5329657.58</v>
      </c>
      <c r="R8" s="14">
        <v>3694730.78</v>
      </c>
      <c r="S8" s="14">
        <v>27228338.25</v>
      </c>
      <c r="T8" s="14">
        <v>8122872.6600000001</v>
      </c>
      <c r="U8" s="14"/>
      <c r="V8" s="14">
        <f t="shared" si="0"/>
        <v>290066722.63000005</v>
      </c>
      <c r="W8" s="35">
        <f>V8-'Bilans 31.12.2018'!C13</f>
        <v>0</v>
      </c>
    </row>
    <row r="9" spans="1:23" s="7" customFormat="1" ht="30">
      <c r="A9" s="23" t="s">
        <v>14</v>
      </c>
      <c r="B9" s="14">
        <v>172646212.75999999</v>
      </c>
      <c r="C9" s="14">
        <v>134479361.34</v>
      </c>
      <c r="D9" s="14">
        <v>229769042.03999999</v>
      </c>
      <c r="E9" s="14">
        <v>154319541.56999999</v>
      </c>
      <c r="F9" s="14">
        <v>57708486.399999999</v>
      </c>
      <c r="G9" s="14">
        <v>122012059.13</v>
      </c>
      <c r="H9" s="14">
        <v>232327648.77000001</v>
      </c>
      <c r="I9" s="14">
        <v>20866769.600000001</v>
      </c>
      <c r="J9" s="14">
        <v>76489100.719999999</v>
      </c>
      <c r="K9" s="14">
        <v>16102333.220000001</v>
      </c>
      <c r="L9" s="14">
        <v>107363612.63</v>
      </c>
      <c r="M9" s="14">
        <v>111767090.06999999</v>
      </c>
      <c r="N9" s="14">
        <v>243959309.47</v>
      </c>
      <c r="O9" s="14">
        <v>91506475.790000007</v>
      </c>
      <c r="P9" s="14">
        <v>124589338.33</v>
      </c>
      <c r="Q9" s="14">
        <v>167094754.41</v>
      </c>
      <c r="R9" s="14">
        <v>108615039.81</v>
      </c>
      <c r="S9" s="14">
        <v>91660893.109999999</v>
      </c>
      <c r="T9" s="14">
        <v>70265227.840000004</v>
      </c>
      <c r="U9" s="14"/>
      <c r="V9" s="14">
        <f t="shared" si="0"/>
        <v>2333542297.0100002</v>
      </c>
      <c r="W9" s="35">
        <f>V9-'Bilans 31.12.2018'!C14</f>
        <v>0</v>
      </c>
    </row>
    <row r="10" spans="1:23" s="7" customFormat="1">
      <c r="A10" s="23" t="s">
        <v>16</v>
      </c>
      <c r="B10" s="14">
        <v>32083520.399999999</v>
      </c>
      <c r="C10" s="14">
        <v>1172325.8899999999</v>
      </c>
      <c r="D10" s="14">
        <v>436625.59</v>
      </c>
      <c r="E10" s="14">
        <v>816457.15</v>
      </c>
      <c r="F10" s="14">
        <v>245481.55</v>
      </c>
      <c r="G10" s="14">
        <v>1012673.34</v>
      </c>
      <c r="H10" s="14">
        <v>136570.97</v>
      </c>
      <c r="I10" s="14">
        <v>86960.02</v>
      </c>
      <c r="J10" s="14">
        <v>336974.1</v>
      </c>
      <c r="K10" s="14">
        <v>328936.33</v>
      </c>
      <c r="L10" s="14">
        <v>1283811.6499999999</v>
      </c>
      <c r="M10" s="14">
        <v>825760.03</v>
      </c>
      <c r="N10" s="14">
        <v>2518964.0499999998</v>
      </c>
      <c r="O10" s="14">
        <v>168006.21</v>
      </c>
      <c r="P10" s="14">
        <v>93066.94</v>
      </c>
      <c r="Q10" s="14">
        <v>21933.61</v>
      </c>
      <c r="R10" s="14">
        <v>84271.27</v>
      </c>
      <c r="S10" s="14">
        <v>1457787.3</v>
      </c>
      <c r="T10" s="14">
        <v>683377.17</v>
      </c>
      <c r="U10" s="14"/>
      <c r="V10" s="14">
        <f t="shared" si="0"/>
        <v>43793503.57</v>
      </c>
      <c r="W10" s="35">
        <f>V10-'Bilans 31.12.2018'!C15</f>
        <v>0</v>
      </c>
    </row>
    <row r="11" spans="1:23" s="7" customFormat="1">
      <c r="A11" s="23" t="s">
        <v>18</v>
      </c>
      <c r="B11" s="14">
        <v>905165.81</v>
      </c>
      <c r="C11" s="14">
        <v>0</v>
      </c>
      <c r="D11" s="14">
        <v>16247.55</v>
      </c>
      <c r="E11" s="14">
        <v>45777.25</v>
      </c>
      <c r="F11" s="14">
        <v>43175</v>
      </c>
      <c r="G11" s="14">
        <v>0</v>
      </c>
      <c r="H11" s="14">
        <v>86207.6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86698.8</v>
      </c>
      <c r="O11" s="14">
        <v>0</v>
      </c>
      <c r="P11" s="14">
        <v>0.02</v>
      </c>
      <c r="Q11" s="14">
        <v>41618.68</v>
      </c>
      <c r="R11" s="14">
        <v>0</v>
      </c>
      <c r="S11" s="14">
        <v>0</v>
      </c>
      <c r="T11" s="14">
        <v>0</v>
      </c>
      <c r="U11" s="14"/>
      <c r="V11" s="14">
        <f t="shared" si="0"/>
        <v>1224890.7100000002</v>
      </c>
      <c r="W11" s="35">
        <f>V11-'Bilans 31.12.2018'!C16</f>
        <v>0</v>
      </c>
    </row>
    <row r="12" spans="1:23" s="7" customFormat="1">
      <c r="A12" s="23" t="s">
        <v>20</v>
      </c>
      <c r="B12" s="14">
        <v>1612558.21</v>
      </c>
      <c r="C12" s="14">
        <v>101964.88</v>
      </c>
      <c r="D12" s="14">
        <v>1720696.83</v>
      </c>
      <c r="E12" s="14">
        <v>5262849.12</v>
      </c>
      <c r="F12" s="14">
        <v>336686.97</v>
      </c>
      <c r="G12" s="14">
        <v>194311.28</v>
      </c>
      <c r="H12" s="14">
        <v>907229.98</v>
      </c>
      <c r="I12" s="14">
        <v>95091.55</v>
      </c>
      <c r="J12" s="14">
        <v>28624.51</v>
      </c>
      <c r="K12" s="14">
        <v>117944.62</v>
      </c>
      <c r="L12" s="14">
        <v>564409.34</v>
      </c>
      <c r="M12" s="14">
        <v>612256.56999999995</v>
      </c>
      <c r="N12" s="14">
        <v>1059061.69</v>
      </c>
      <c r="O12" s="14">
        <v>90447.89</v>
      </c>
      <c r="P12" s="14">
        <v>309375.5</v>
      </c>
      <c r="Q12" s="14">
        <v>211880.36</v>
      </c>
      <c r="R12" s="14">
        <v>186529.85</v>
      </c>
      <c r="S12" s="14">
        <v>452701.72</v>
      </c>
      <c r="T12" s="14">
        <v>18695599.030000001</v>
      </c>
      <c r="U12" s="14"/>
      <c r="V12" s="14">
        <f t="shared" si="0"/>
        <v>32560219.899999999</v>
      </c>
      <c r="W12" s="35">
        <f>V12-'Bilans 31.12.2018'!C17</f>
        <v>0</v>
      </c>
    </row>
    <row r="13" spans="1:23" s="36" customFormat="1" ht="14.25">
      <c r="A13" s="20" t="s">
        <v>21</v>
      </c>
      <c r="B13" s="14">
        <v>15513839.359999999</v>
      </c>
      <c r="C13" s="14">
        <v>81123988.719999999</v>
      </c>
      <c r="D13" s="14">
        <v>114979274.33</v>
      </c>
      <c r="E13" s="14">
        <v>80547428</v>
      </c>
      <c r="F13" s="14">
        <v>109368647.08</v>
      </c>
      <c r="G13" s="14">
        <v>41275437.399999999</v>
      </c>
      <c r="H13" s="14">
        <v>38159207.899999999</v>
      </c>
      <c r="I13" s="14">
        <v>19442971.73</v>
      </c>
      <c r="J13" s="14">
        <v>9977814.9700000007</v>
      </c>
      <c r="K13" s="14">
        <v>18805527.34</v>
      </c>
      <c r="L13" s="14">
        <v>85669496.040000007</v>
      </c>
      <c r="M13" s="14">
        <v>81420112.870000005</v>
      </c>
      <c r="N13" s="14">
        <v>132831496.7</v>
      </c>
      <c r="O13" s="14">
        <v>53805734.920000002</v>
      </c>
      <c r="P13" s="14">
        <v>20490801.219999999</v>
      </c>
      <c r="Q13" s="14">
        <v>33306729.399999999</v>
      </c>
      <c r="R13" s="14">
        <v>43042011.960000001</v>
      </c>
      <c r="S13" s="14">
        <v>34509015.670000002</v>
      </c>
      <c r="T13" s="14">
        <v>7958725.6699999999</v>
      </c>
      <c r="U13" s="14"/>
      <c r="V13" s="14">
        <f t="shared" si="0"/>
        <v>1022228261.2799999</v>
      </c>
      <c r="W13" s="35">
        <f>V13-'Bilans 31.12.2018'!C18</f>
        <v>0</v>
      </c>
    </row>
    <row r="14" spans="1:23" s="7" customFormat="1" ht="28.5">
      <c r="A14" s="20" t="s">
        <v>22</v>
      </c>
      <c r="B14" s="14">
        <v>0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4">
        <v>0</v>
      </c>
      <c r="Q14" s="14">
        <v>0</v>
      </c>
      <c r="R14" s="14">
        <v>0</v>
      </c>
      <c r="S14" s="14">
        <v>0</v>
      </c>
      <c r="T14" s="14">
        <v>0</v>
      </c>
      <c r="U14" s="14"/>
      <c r="V14" s="14">
        <f t="shared" si="0"/>
        <v>0</v>
      </c>
      <c r="W14" s="35">
        <f>V14-'Bilans 31.12.2018'!C19</f>
        <v>0</v>
      </c>
    </row>
    <row r="15" spans="1:23" s="11" customFormat="1" ht="14.25">
      <c r="A15" s="20" t="s">
        <v>23</v>
      </c>
      <c r="B15" s="10">
        <v>25516265.57</v>
      </c>
      <c r="C15" s="10">
        <v>2642456.5699999998</v>
      </c>
      <c r="D15" s="10">
        <v>15263950.49</v>
      </c>
      <c r="E15" s="10">
        <v>5808931.71</v>
      </c>
      <c r="F15" s="10">
        <v>13511154.82</v>
      </c>
      <c r="G15" s="10">
        <v>17728867.190000001</v>
      </c>
      <c r="H15" s="10">
        <v>9662180.9399999995</v>
      </c>
      <c r="I15" s="10">
        <v>3726082.82</v>
      </c>
      <c r="J15" s="10">
        <v>8637433.2799999993</v>
      </c>
      <c r="K15" s="10">
        <v>16123484.5</v>
      </c>
      <c r="L15" s="10">
        <v>4027760.44</v>
      </c>
      <c r="M15" s="10">
        <v>3188213.45</v>
      </c>
      <c r="N15" s="10">
        <v>13065619.710000001</v>
      </c>
      <c r="O15" s="10">
        <v>14297207.26</v>
      </c>
      <c r="P15" s="10">
        <v>3008139.52</v>
      </c>
      <c r="Q15" s="10">
        <v>2889449.99</v>
      </c>
      <c r="R15" s="10">
        <v>6261281.0199999996</v>
      </c>
      <c r="S15" s="10">
        <v>6388008.1799999997</v>
      </c>
      <c r="T15" s="10">
        <v>3858536.32</v>
      </c>
      <c r="U15" s="10">
        <f>-'[1]Nal-Zob'!$H$55</f>
        <v>-734288.3</v>
      </c>
      <c r="V15" s="10">
        <f t="shared" si="0"/>
        <v>174870735.48000002</v>
      </c>
      <c r="W15" s="35">
        <f>V15-'Bilans 31.12.2018'!C20</f>
        <v>0</v>
      </c>
    </row>
    <row r="16" spans="1:23" s="11" customFormat="1" ht="14.25">
      <c r="A16" s="20" t="s">
        <v>24</v>
      </c>
      <c r="B16" s="10">
        <v>4711994549.1599998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f>SUM(U17:U19)</f>
        <v>0</v>
      </c>
      <c r="V16" s="10">
        <f>SUM(V17:V19)</f>
        <v>4711994549.1599998</v>
      </c>
      <c r="W16" s="35">
        <f>V16-'Bilans 31.12.2018'!C21</f>
        <v>0</v>
      </c>
    </row>
    <row r="17" spans="1:23" s="7" customFormat="1">
      <c r="A17" s="23" t="s">
        <v>25</v>
      </c>
      <c r="B17" s="14">
        <v>4711994549.1599998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  <c r="U17" s="14"/>
      <c r="V17" s="14">
        <f>SUM(B17:U17)</f>
        <v>4711994549.1599998</v>
      </c>
      <c r="W17" s="35">
        <f>V17-'Bilans 31.12.2018'!C22</f>
        <v>0</v>
      </c>
    </row>
    <row r="18" spans="1:23" s="7" customFormat="1">
      <c r="A18" s="23" t="s">
        <v>27</v>
      </c>
      <c r="B18" s="14">
        <v>0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4">
        <v>0</v>
      </c>
      <c r="Q18" s="14">
        <v>0</v>
      </c>
      <c r="R18" s="14">
        <v>0</v>
      </c>
      <c r="S18" s="14">
        <v>0</v>
      </c>
      <c r="T18" s="14">
        <v>0</v>
      </c>
      <c r="U18" s="14"/>
      <c r="V18" s="14">
        <f>SUM(B18:U18)</f>
        <v>0</v>
      </c>
      <c r="W18" s="35">
        <f>V18-'Bilans 31.12.2018'!C23</f>
        <v>0</v>
      </c>
    </row>
    <row r="19" spans="1:23" s="7" customFormat="1">
      <c r="A19" s="23" t="s">
        <v>29</v>
      </c>
      <c r="B19" s="14">
        <v>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4">
        <v>0</v>
      </c>
      <c r="Q19" s="14">
        <v>0</v>
      </c>
      <c r="R19" s="14">
        <v>0</v>
      </c>
      <c r="S19" s="14">
        <v>0</v>
      </c>
      <c r="T19" s="14">
        <v>0</v>
      </c>
      <c r="U19" s="14"/>
      <c r="V19" s="14">
        <f>SUM(B19:U19)</f>
        <v>0</v>
      </c>
      <c r="W19" s="35">
        <f>V19-'Bilans 31.12.2018'!C24</f>
        <v>0</v>
      </c>
    </row>
    <row r="20" spans="1:23" s="11" customFormat="1" ht="14.25">
      <c r="A20" s="20" t="s">
        <v>31</v>
      </c>
      <c r="B20" s="10">
        <v>17370887.539999999</v>
      </c>
      <c r="C20" s="10">
        <v>0</v>
      </c>
      <c r="D20" s="10">
        <v>5106051.6100000003</v>
      </c>
      <c r="E20" s="10">
        <v>0</v>
      </c>
      <c r="F20" s="10">
        <v>0</v>
      </c>
      <c r="G20" s="10">
        <v>0</v>
      </c>
      <c r="H20" s="10">
        <v>0</v>
      </c>
      <c r="I20" s="10">
        <v>160227.26999999999</v>
      </c>
      <c r="J20" s="10">
        <v>0</v>
      </c>
      <c r="K20" s="10">
        <v>0</v>
      </c>
      <c r="L20" s="10">
        <v>5727937.7400000002</v>
      </c>
      <c r="M20" s="10">
        <v>0</v>
      </c>
      <c r="N20" s="10">
        <v>2126433.02</v>
      </c>
      <c r="O20" s="10">
        <v>0</v>
      </c>
      <c r="P20" s="10">
        <v>0</v>
      </c>
      <c r="Q20" s="10">
        <v>0</v>
      </c>
      <c r="R20" s="10">
        <v>198968.89</v>
      </c>
      <c r="S20" s="10">
        <v>0</v>
      </c>
      <c r="T20" s="10">
        <v>0</v>
      </c>
      <c r="U20" s="10"/>
      <c r="V20" s="10">
        <f>SUM(B20:U20)</f>
        <v>30690506.069999997</v>
      </c>
      <c r="W20" s="35">
        <f>V20-'Bilans 31.12.2018'!C25</f>
        <v>0</v>
      </c>
    </row>
    <row r="21" spans="1:23" s="11" customFormat="1" ht="28.5">
      <c r="A21" s="20" t="s">
        <v>32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10">
        <v>0</v>
      </c>
      <c r="S21" s="10">
        <v>0</v>
      </c>
      <c r="T21" s="10">
        <v>0</v>
      </c>
      <c r="U21" s="10"/>
      <c r="V21" s="10">
        <f>SUM(B21:U21)</f>
        <v>0</v>
      </c>
      <c r="W21" s="35">
        <f>V21-'Bilans 31.12.2018'!C26</f>
        <v>0</v>
      </c>
    </row>
    <row r="22" spans="1:23" s="11" customFormat="1" ht="14.25">
      <c r="A22" s="20" t="s">
        <v>34</v>
      </c>
      <c r="B22" s="10">
        <v>187923482.50999999</v>
      </c>
      <c r="C22" s="10">
        <v>15356925.789999999</v>
      </c>
      <c r="D22" s="10">
        <v>28643230.66</v>
      </c>
      <c r="E22" s="10">
        <v>20815932.129999999</v>
      </c>
      <c r="F22" s="10">
        <v>37228197.200000003</v>
      </c>
      <c r="G22" s="10">
        <v>32779722.370000001</v>
      </c>
      <c r="H22" s="10">
        <v>25216422.800000001</v>
      </c>
      <c r="I22" s="10">
        <v>22378379.809999999</v>
      </c>
      <c r="J22" s="10">
        <v>9050628.1899999995</v>
      </c>
      <c r="K22" s="10">
        <v>49321432.030000001</v>
      </c>
      <c r="L22" s="10">
        <v>27695305.079999998</v>
      </c>
      <c r="M22" s="10">
        <v>15005353.32</v>
      </c>
      <c r="N22" s="10">
        <v>21087952.460000001</v>
      </c>
      <c r="O22" s="10">
        <v>16776137</v>
      </c>
      <c r="P22" s="10">
        <v>3870710.44</v>
      </c>
      <c r="Q22" s="10">
        <v>4622934.2300000004</v>
      </c>
      <c r="R22" s="10">
        <v>12095894.369999999</v>
      </c>
      <c r="S22" s="10">
        <v>43200768.090000004</v>
      </c>
      <c r="T22" s="10">
        <v>9845501.9299999997</v>
      </c>
      <c r="U22" s="10">
        <f>U23+U28+U34+U42</f>
        <v>-190028788.62</v>
      </c>
      <c r="V22" s="10">
        <f>V23+V28+V34+V42</f>
        <v>392886121.78999996</v>
      </c>
      <c r="W22" s="35">
        <f>V22-'Bilans 31.12.2018'!C27</f>
        <v>0</v>
      </c>
    </row>
    <row r="23" spans="1:23" s="11" customFormat="1" ht="14.25">
      <c r="A23" s="20" t="s">
        <v>36</v>
      </c>
      <c r="B23" s="10">
        <v>923785.7</v>
      </c>
      <c r="C23" s="10">
        <v>146183.21</v>
      </c>
      <c r="D23" s="10">
        <v>0</v>
      </c>
      <c r="E23" s="10">
        <v>104869.51</v>
      </c>
      <c r="F23" s="10">
        <v>310311.40999999997</v>
      </c>
      <c r="G23" s="10">
        <v>0</v>
      </c>
      <c r="H23" s="10">
        <v>0</v>
      </c>
      <c r="I23" s="10">
        <v>0</v>
      </c>
      <c r="J23" s="10">
        <v>0</v>
      </c>
      <c r="K23" s="10">
        <v>139764.57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75253.98</v>
      </c>
      <c r="S23" s="10">
        <v>93587.08</v>
      </c>
      <c r="T23" s="10">
        <v>197063.81</v>
      </c>
      <c r="U23" s="10">
        <f>SUM(U24:U27)</f>
        <v>0</v>
      </c>
      <c r="V23" s="10">
        <f>SUM(V24:V27)</f>
        <v>1990819.27</v>
      </c>
      <c r="W23" s="35">
        <f>V23-'Bilans 31.12.2018'!C28</f>
        <v>0</v>
      </c>
    </row>
    <row r="24" spans="1:23" s="7" customFormat="1">
      <c r="A24" s="23" t="s">
        <v>38</v>
      </c>
      <c r="B24" s="14">
        <v>923785.7</v>
      </c>
      <c r="C24" s="14">
        <v>146183.21</v>
      </c>
      <c r="D24" s="14">
        <v>0</v>
      </c>
      <c r="E24" s="14">
        <v>104869.51</v>
      </c>
      <c r="F24" s="14">
        <v>310311.40999999997</v>
      </c>
      <c r="G24" s="14">
        <v>0</v>
      </c>
      <c r="H24" s="14">
        <v>0</v>
      </c>
      <c r="I24" s="14">
        <v>0</v>
      </c>
      <c r="J24" s="14">
        <v>0</v>
      </c>
      <c r="K24" s="14">
        <v>139764.57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75253.98</v>
      </c>
      <c r="S24" s="14">
        <v>93587.08</v>
      </c>
      <c r="T24" s="14">
        <v>197063.81</v>
      </c>
      <c r="U24" s="14"/>
      <c r="V24" s="14">
        <f t="shared" ref="V24:V42" si="1">SUM(B24:U24)</f>
        <v>1990819.27</v>
      </c>
      <c r="W24" s="35">
        <f>V24-'Bilans 31.12.2018'!C29</f>
        <v>0</v>
      </c>
    </row>
    <row r="25" spans="1:23" s="7" customFormat="1">
      <c r="A25" s="23" t="s">
        <v>40</v>
      </c>
      <c r="B25" s="14">
        <v>0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4">
        <v>0</v>
      </c>
      <c r="T25" s="14">
        <v>0</v>
      </c>
      <c r="U25" s="14"/>
      <c r="V25" s="14">
        <f t="shared" si="1"/>
        <v>0</v>
      </c>
      <c r="W25" s="35">
        <f>V25-'Bilans 31.12.2018'!C30</f>
        <v>0</v>
      </c>
    </row>
    <row r="26" spans="1:23" s="7" customFormat="1">
      <c r="A26" s="23" t="s">
        <v>42</v>
      </c>
      <c r="B26" s="14">
        <v>0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14">
        <v>0</v>
      </c>
      <c r="T26" s="14">
        <v>0</v>
      </c>
      <c r="U26" s="14"/>
      <c r="V26" s="14">
        <f t="shared" si="1"/>
        <v>0</v>
      </c>
      <c r="W26" s="35">
        <f>V26-'Bilans 31.12.2018'!C31</f>
        <v>0</v>
      </c>
    </row>
    <row r="27" spans="1:23" s="7" customFormat="1">
      <c r="A27" s="23" t="s">
        <v>43</v>
      </c>
      <c r="B27" s="14">
        <v>0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  <c r="S27" s="14">
        <v>0</v>
      </c>
      <c r="T27" s="14">
        <v>0</v>
      </c>
      <c r="U27" s="14"/>
      <c r="V27" s="14">
        <f t="shared" si="1"/>
        <v>0</v>
      </c>
      <c r="W27" s="35">
        <f>V27-'Bilans 31.12.2018'!C32</f>
        <v>0</v>
      </c>
    </row>
    <row r="28" spans="1:23" s="11" customFormat="1" ht="14.25">
      <c r="A28" s="20" t="s">
        <v>45</v>
      </c>
      <c r="B28" s="10">
        <v>141534761.96000001</v>
      </c>
      <c r="C28" s="10">
        <v>11725492.609999999</v>
      </c>
      <c r="D28" s="10">
        <v>15141073.470000001</v>
      </c>
      <c r="E28" s="10">
        <v>17191050.109999999</v>
      </c>
      <c r="F28" s="10">
        <v>29976577.530000001</v>
      </c>
      <c r="G28" s="10">
        <v>29562460.010000002</v>
      </c>
      <c r="H28" s="10">
        <v>19918756.710000001</v>
      </c>
      <c r="I28" s="10">
        <v>20749512.82</v>
      </c>
      <c r="J28" s="10">
        <v>8162788.0899999999</v>
      </c>
      <c r="K28" s="10">
        <v>46453620.149999999</v>
      </c>
      <c r="L28" s="10">
        <v>19502642.100000001</v>
      </c>
      <c r="M28" s="10">
        <v>7315097.8200000003</v>
      </c>
      <c r="N28" s="10">
        <v>11688427.300000001</v>
      </c>
      <c r="O28" s="10">
        <v>13688962.109999999</v>
      </c>
      <c r="P28" s="10">
        <v>3288276.49</v>
      </c>
      <c r="Q28" s="10">
        <v>3047217.46</v>
      </c>
      <c r="R28" s="10">
        <v>10903265.33</v>
      </c>
      <c r="S28" s="10">
        <v>39899029.560000002</v>
      </c>
      <c r="T28" s="10">
        <v>7876846.46</v>
      </c>
      <c r="U28" s="10">
        <f>SUM(U29:U33)</f>
        <v>-190028788.62</v>
      </c>
      <c r="V28" s="10">
        <f>SUM(V29:V33)</f>
        <v>267597069.46999994</v>
      </c>
      <c r="W28" s="35">
        <f>V28-'Bilans 31.12.2018'!C33</f>
        <v>0</v>
      </c>
    </row>
    <row r="29" spans="1:23" s="7" customFormat="1">
      <c r="A29" s="23" t="s">
        <v>46</v>
      </c>
      <c r="B29" s="14">
        <v>996254.47</v>
      </c>
      <c r="C29" s="14">
        <v>1068592.72</v>
      </c>
      <c r="D29" s="14">
        <v>19059.439999999999</v>
      </c>
      <c r="E29" s="14">
        <v>6395.82</v>
      </c>
      <c r="F29" s="14">
        <v>744.22</v>
      </c>
      <c r="G29" s="14">
        <v>0</v>
      </c>
      <c r="H29" s="14">
        <v>410.62</v>
      </c>
      <c r="I29" s="14">
        <v>0</v>
      </c>
      <c r="J29" s="14">
        <v>746.63</v>
      </c>
      <c r="K29" s="14">
        <v>150836.12</v>
      </c>
      <c r="L29" s="14">
        <v>0</v>
      </c>
      <c r="M29" s="14">
        <v>35113.919999999998</v>
      </c>
      <c r="N29" s="14">
        <v>49110.23</v>
      </c>
      <c r="O29" s="14">
        <v>14.7</v>
      </c>
      <c r="P29" s="14">
        <v>4148.72</v>
      </c>
      <c r="Q29" s="14">
        <v>226597.63</v>
      </c>
      <c r="R29" s="14">
        <v>897.8</v>
      </c>
      <c r="S29" s="14">
        <v>4294.3599999999997</v>
      </c>
      <c r="T29" s="14">
        <v>191496.68</v>
      </c>
      <c r="U29" s="14"/>
      <c r="V29" s="14">
        <f t="shared" si="1"/>
        <v>2754714.08</v>
      </c>
      <c r="W29" s="35">
        <f>V29-'Bilans 31.12.2018'!C34</f>
        <v>0</v>
      </c>
    </row>
    <row r="30" spans="1:23" s="7" customFormat="1">
      <c r="A30" s="23" t="s">
        <v>47</v>
      </c>
      <c r="B30" s="14">
        <v>47232094.460000001</v>
      </c>
      <c r="C30" s="14">
        <v>0</v>
      </c>
      <c r="D30" s="14">
        <v>10532.62</v>
      </c>
      <c r="E30" s="14">
        <v>8030.13</v>
      </c>
      <c r="F30" s="14">
        <v>20767.22</v>
      </c>
      <c r="G30" s="14">
        <v>0</v>
      </c>
      <c r="H30" s="14">
        <v>3131.67</v>
      </c>
      <c r="I30" s="14">
        <v>222.33</v>
      </c>
      <c r="J30" s="14">
        <v>2903.55</v>
      </c>
      <c r="K30" s="14">
        <v>0</v>
      </c>
      <c r="L30" s="14">
        <v>9533.2000000000007</v>
      </c>
      <c r="M30" s="14">
        <v>5348.45</v>
      </c>
      <c r="N30" s="14">
        <v>15819.36</v>
      </c>
      <c r="O30" s="14">
        <v>6457.35</v>
      </c>
      <c r="P30" s="14">
        <v>3911.71</v>
      </c>
      <c r="Q30" s="14">
        <v>0</v>
      </c>
      <c r="R30" s="14">
        <v>0</v>
      </c>
      <c r="S30" s="14">
        <v>9551.9699999999993</v>
      </c>
      <c r="T30" s="14">
        <v>13980.14</v>
      </c>
      <c r="U30" s="14"/>
      <c r="V30" s="14">
        <f t="shared" si="1"/>
        <v>47342284.160000004</v>
      </c>
      <c r="W30" s="35">
        <f>V30-'Bilans 31.12.2018'!C35</f>
        <v>0</v>
      </c>
    </row>
    <row r="31" spans="1:23" s="7" customFormat="1" ht="30">
      <c r="A31" s="23" t="s">
        <v>48</v>
      </c>
      <c r="B31" s="14">
        <v>0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129.99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  <c r="S31" s="14">
        <v>0</v>
      </c>
      <c r="T31" s="14">
        <v>0</v>
      </c>
      <c r="U31" s="14"/>
      <c r="V31" s="14">
        <f t="shared" si="1"/>
        <v>129.99</v>
      </c>
      <c r="W31" s="35">
        <f>V31-'Bilans 31.12.2018'!C36</f>
        <v>0</v>
      </c>
    </row>
    <row r="32" spans="1:23" s="7" customFormat="1">
      <c r="A32" s="23" t="s">
        <v>49</v>
      </c>
      <c r="B32" s="14">
        <v>93306413.030000001</v>
      </c>
      <c r="C32" s="14">
        <v>10656188.99</v>
      </c>
      <c r="D32" s="14">
        <v>15111481.41</v>
      </c>
      <c r="E32" s="14">
        <v>17176624.16</v>
      </c>
      <c r="F32" s="14">
        <v>29955066.09</v>
      </c>
      <c r="G32" s="14">
        <v>29562460.010000002</v>
      </c>
      <c r="H32" s="14">
        <v>19915214.420000002</v>
      </c>
      <c r="I32" s="14">
        <v>20749290.489999998</v>
      </c>
      <c r="J32" s="14">
        <v>8159137.9100000001</v>
      </c>
      <c r="K32" s="14">
        <v>46302784.030000001</v>
      </c>
      <c r="L32" s="14">
        <v>19493108.899999999</v>
      </c>
      <c r="M32" s="14">
        <v>7274505.46</v>
      </c>
      <c r="N32" s="14">
        <v>11623497.710000001</v>
      </c>
      <c r="O32" s="14">
        <v>13682490.060000001</v>
      </c>
      <c r="P32" s="14">
        <v>3280216.06</v>
      </c>
      <c r="Q32" s="14">
        <v>2820619.83</v>
      </c>
      <c r="R32" s="14">
        <v>10902367.529999999</v>
      </c>
      <c r="S32" s="14">
        <v>39885183.229999997</v>
      </c>
      <c r="T32" s="14">
        <v>7671369.6399999997</v>
      </c>
      <c r="U32" s="14">
        <f>-'[1]Nal-Zob'!$H$64</f>
        <v>-190028788.62</v>
      </c>
      <c r="V32" s="14">
        <f t="shared" si="1"/>
        <v>217499230.33999991</v>
      </c>
      <c r="W32" s="35">
        <f>V32-'Bilans 31.12.2018'!C37</f>
        <v>0</v>
      </c>
    </row>
    <row r="33" spans="1:23" s="7" customFormat="1" ht="30">
      <c r="A33" s="23" t="s">
        <v>50</v>
      </c>
      <c r="B33" s="14">
        <v>0</v>
      </c>
      <c r="C33" s="14">
        <v>710.9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  <c r="S33" s="14">
        <v>0</v>
      </c>
      <c r="T33" s="14">
        <v>0</v>
      </c>
      <c r="U33" s="14"/>
      <c r="V33" s="14">
        <f t="shared" si="1"/>
        <v>710.9</v>
      </c>
      <c r="W33" s="35">
        <f>V33-'Bilans 31.12.2018'!C38</f>
        <v>0</v>
      </c>
    </row>
    <row r="34" spans="1:23" s="11" customFormat="1" ht="14.25">
      <c r="A34" s="20" t="s">
        <v>51</v>
      </c>
      <c r="B34" s="10">
        <v>29045564.57</v>
      </c>
      <c r="C34" s="10">
        <v>3470093</v>
      </c>
      <c r="D34" s="10">
        <v>13501685.65</v>
      </c>
      <c r="E34" s="10">
        <v>3520012.51</v>
      </c>
      <c r="F34" s="10">
        <v>6941308.2599999998</v>
      </c>
      <c r="G34" s="10">
        <v>3217262.36</v>
      </c>
      <c r="H34" s="10">
        <v>5297666.09</v>
      </c>
      <c r="I34" s="10">
        <v>1628857.87</v>
      </c>
      <c r="J34" s="10">
        <v>886447.9</v>
      </c>
      <c r="K34" s="10">
        <v>2718603.4</v>
      </c>
      <c r="L34" s="10">
        <v>8166978.9500000002</v>
      </c>
      <c r="M34" s="10">
        <v>7673496.96</v>
      </c>
      <c r="N34" s="10">
        <v>9375303.8900000006</v>
      </c>
      <c r="O34" s="10">
        <v>3066692.04</v>
      </c>
      <c r="P34" s="10">
        <v>435354.85</v>
      </c>
      <c r="Q34" s="10">
        <v>1575716.77</v>
      </c>
      <c r="R34" s="10">
        <v>1099018.5</v>
      </c>
      <c r="S34" s="10">
        <v>3175475.62</v>
      </c>
      <c r="T34" s="10">
        <v>1771591.66</v>
      </c>
      <c r="U34" s="10">
        <f>SUM(U35:U41)</f>
        <v>0</v>
      </c>
      <c r="V34" s="10">
        <f>SUM(V35:V41)</f>
        <v>106567130.85000001</v>
      </c>
      <c r="W34" s="35">
        <f>V34-'Bilans 31.12.2018'!C39</f>
        <v>0</v>
      </c>
    </row>
    <row r="35" spans="1:23" s="7" customFormat="1">
      <c r="A35" s="23" t="s">
        <v>52</v>
      </c>
      <c r="B35" s="14">
        <v>0</v>
      </c>
      <c r="C35" s="14">
        <v>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v>0</v>
      </c>
      <c r="Q35" s="14">
        <v>0</v>
      </c>
      <c r="R35" s="14">
        <v>0</v>
      </c>
      <c r="S35" s="14">
        <v>0</v>
      </c>
      <c r="T35" s="14">
        <v>0</v>
      </c>
      <c r="U35" s="14"/>
      <c r="V35" s="14">
        <f t="shared" si="1"/>
        <v>0</v>
      </c>
      <c r="W35" s="35">
        <f>V35-'Bilans 31.12.2018'!C40</f>
        <v>0</v>
      </c>
    </row>
    <row r="36" spans="1:23" s="7" customFormat="1">
      <c r="A36" s="23" t="s">
        <v>53</v>
      </c>
      <c r="B36" s="14">
        <v>6456340.4500000002</v>
      </c>
      <c r="C36" s="14">
        <v>30324.59</v>
      </c>
      <c r="D36" s="14">
        <v>10665.58</v>
      </c>
      <c r="E36" s="14">
        <v>96748.07</v>
      </c>
      <c r="F36" s="14">
        <v>70065.759999999995</v>
      </c>
      <c r="G36" s="14">
        <v>71132.75</v>
      </c>
      <c r="H36" s="14">
        <v>64432.36</v>
      </c>
      <c r="I36" s="14">
        <v>296736.90000000002</v>
      </c>
      <c r="J36" s="14">
        <v>2973.62</v>
      </c>
      <c r="K36" s="14">
        <v>373269.27</v>
      </c>
      <c r="L36" s="14">
        <v>108957.27</v>
      </c>
      <c r="M36" s="14">
        <v>415202.74</v>
      </c>
      <c r="N36" s="14">
        <v>10115.299999999999</v>
      </c>
      <c r="O36" s="14">
        <v>69551.86</v>
      </c>
      <c r="P36" s="14">
        <v>1194.74</v>
      </c>
      <c r="Q36" s="14">
        <v>104.22</v>
      </c>
      <c r="R36" s="14">
        <v>16450.52</v>
      </c>
      <c r="S36" s="14">
        <v>47405.04</v>
      </c>
      <c r="T36" s="14">
        <v>0</v>
      </c>
      <c r="U36" s="14"/>
      <c r="V36" s="14">
        <f t="shared" si="1"/>
        <v>8141671.040000001</v>
      </c>
      <c r="W36" s="35">
        <f>V36-'Bilans 31.12.2018'!C41</f>
        <v>0</v>
      </c>
    </row>
    <row r="37" spans="1:23" s="7" customFormat="1" ht="30">
      <c r="A37" s="23" t="s">
        <v>54</v>
      </c>
      <c r="B37" s="14">
        <v>0</v>
      </c>
      <c r="C37" s="14">
        <v>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  <c r="Q37" s="14">
        <v>0</v>
      </c>
      <c r="R37" s="14">
        <v>0</v>
      </c>
      <c r="S37" s="14">
        <v>0</v>
      </c>
      <c r="T37" s="14">
        <v>0</v>
      </c>
      <c r="U37" s="14"/>
      <c r="V37" s="14">
        <f t="shared" si="1"/>
        <v>0</v>
      </c>
      <c r="W37" s="35">
        <f>V37-'Bilans 31.12.2018'!C42</f>
        <v>0</v>
      </c>
    </row>
    <row r="38" spans="1:23" s="7" customFormat="1">
      <c r="A38" s="23" t="s">
        <v>55</v>
      </c>
      <c r="B38" s="14">
        <v>22589224.120000001</v>
      </c>
      <c r="C38" s="14">
        <v>3439768.41</v>
      </c>
      <c r="D38" s="14">
        <v>13491020.07</v>
      </c>
      <c r="E38" s="14">
        <v>3423264.44</v>
      </c>
      <c r="F38" s="14">
        <v>6871242.5</v>
      </c>
      <c r="G38" s="14">
        <v>3146129.61</v>
      </c>
      <c r="H38" s="14">
        <v>5233233.7300000004</v>
      </c>
      <c r="I38" s="14">
        <v>1332120.97</v>
      </c>
      <c r="J38" s="14">
        <v>883474.28</v>
      </c>
      <c r="K38" s="14">
        <v>2345334.13</v>
      </c>
      <c r="L38" s="14">
        <v>8058021.6799999997</v>
      </c>
      <c r="M38" s="14">
        <v>7258294.2199999997</v>
      </c>
      <c r="N38" s="14">
        <v>9365188.5899999999</v>
      </c>
      <c r="O38" s="14">
        <v>2997140.18</v>
      </c>
      <c r="P38" s="14">
        <v>434160.11</v>
      </c>
      <c r="Q38" s="14">
        <v>1575612.55</v>
      </c>
      <c r="R38" s="14">
        <v>1082567.98</v>
      </c>
      <c r="S38" s="14">
        <v>3128070.58</v>
      </c>
      <c r="T38" s="14">
        <v>1771591.66</v>
      </c>
      <c r="U38" s="14"/>
      <c r="V38" s="14">
        <f t="shared" si="1"/>
        <v>98425459.810000002</v>
      </c>
      <c r="W38" s="35">
        <f>V38-'Bilans 31.12.2018'!C43</f>
        <v>0</v>
      </c>
    </row>
    <row r="39" spans="1:23" s="7" customFormat="1">
      <c r="A39" s="23" t="s">
        <v>56</v>
      </c>
      <c r="B39" s="14">
        <v>0</v>
      </c>
      <c r="C39" s="14">
        <v>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4">
        <v>0</v>
      </c>
      <c r="Q39" s="14">
        <v>0</v>
      </c>
      <c r="R39" s="14">
        <v>0</v>
      </c>
      <c r="S39" s="14">
        <v>0</v>
      </c>
      <c r="T39" s="14">
        <v>0</v>
      </c>
      <c r="U39" s="14"/>
      <c r="V39" s="14">
        <f t="shared" si="1"/>
        <v>0</v>
      </c>
      <c r="W39" s="35">
        <f>V39-'Bilans 31.12.2018'!C44</f>
        <v>0</v>
      </c>
    </row>
    <row r="40" spans="1:23" s="7" customFormat="1">
      <c r="A40" s="23" t="s">
        <v>57</v>
      </c>
      <c r="B40" s="14">
        <v>0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v>0</v>
      </c>
      <c r="Q40" s="14">
        <v>0</v>
      </c>
      <c r="R40" s="14">
        <v>0</v>
      </c>
      <c r="S40" s="14">
        <v>0</v>
      </c>
      <c r="T40" s="14">
        <v>0</v>
      </c>
      <c r="U40" s="14"/>
      <c r="V40" s="14">
        <f t="shared" si="1"/>
        <v>0</v>
      </c>
      <c r="W40" s="35">
        <f>V40-'Bilans 31.12.2018'!C45</f>
        <v>0</v>
      </c>
    </row>
    <row r="41" spans="1:23" s="7" customFormat="1">
      <c r="A41" s="23" t="s">
        <v>58</v>
      </c>
      <c r="B41" s="14">
        <v>0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v>0</v>
      </c>
      <c r="Q41" s="14">
        <v>0</v>
      </c>
      <c r="R41" s="14">
        <v>0</v>
      </c>
      <c r="S41" s="14">
        <v>0</v>
      </c>
      <c r="T41" s="14">
        <v>0</v>
      </c>
      <c r="U41" s="14"/>
      <c r="V41" s="14">
        <f t="shared" si="1"/>
        <v>0</v>
      </c>
      <c r="W41" s="35">
        <f>V41-'Bilans 31.12.2018'!C46</f>
        <v>0</v>
      </c>
    </row>
    <row r="42" spans="1:23" s="11" customFormat="1" ht="14.25">
      <c r="A42" s="20" t="s">
        <v>59</v>
      </c>
      <c r="B42" s="10">
        <v>16419370.279999999</v>
      </c>
      <c r="C42" s="10">
        <v>15156.97</v>
      </c>
      <c r="D42" s="10">
        <v>471.54</v>
      </c>
      <c r="E42" s="10">
        <v>0</v>
      </c>
      <c r="F42" s="10">
        <v>0</v>
      </c>
      <c r="G42" s="10">
        <v>0</v>
      </c>
      <c r="H42" s="10">
        <v>0</v>
      </c>
      <c r="I42" s="10">
        <v>9.1199999999999992</v>
      </c>
      <c r="J42" s="10">
        <v>1392.2</v>
      </c>
      <c r="K42" s="10">
        <v>9443.91</v>
      </c>
      <c r="L42" s="10">
        <v>25684.03</v>
      </c>
      <c r="M42" s="10">
        <v>16758.54</v>
      </c>
      <c r="N42" s="10">
        <v>24221.27</v>
      </c>
      <c r="O42" s="10">
        <v>20482.849999999999</v>
      </c>
      <c r="P42" s="10">
        <v>147079.1</v>
      </c>
      <c r="Q42" s="10">
        <v>0</v>
      </c>
      <c r="R42" s="10">
        <v>18356.560000000001</v>
      </c>
      <c r="S42" s="10">
        <v>32675.83</v>
      </c>
      <c r="T42" s="10">
        <v>0</v>
      </c>
      <c r="U42" s="10">
        <v>0</v>
      </c>
      <c r="V42" s="10">
        <f t="shared" si="1"/>
        <v>16731102.199999996</v>
      </c>
      <c r="W42" s="35">
        <f>V42-'Bilans 31.12.2018'!C47</f>
        <v>0</v>
      </c>
    </row>
    <row r="43" spans="1:23" s="22" customFormat="1">
      <c r="A43" s="20" t="s">
        <v>60</v>
      </c>
      <c r="B43" s="10">
        <v>5225268817.3199997</v>
      </c>
      <c r="C43" s="10">
        <v>669284924.98000002</v>
      </c>
      <c r="D43" s="10">
        <v>854761223.30999994</v>
      </c>
      <c r="E43" s="10">
        <v>801556796.96000004</v>
      </c>
      <c r="F43" s="10">
        <v>1718635607.74</v>
      </c>
      <c r="G43" s="10">
        <v>504201175.92000002</v>
      </c>
      <c r="H43" s="10">
        <v>703165814.22000003</v>
      </c>
      <c r="I43" s="10">
        <v>197880658.15000001</v>
      </c>
      <c r="J43" s="10">
        <v>220485101.25999999</v>
      </c>
      <c r="K43" s="10">
        <v>1346049022.4400001</v>
      </c>
      <c r="L43" s="10">
        <v>499815384.37</v>
      </c>
      <c r="M43" s="10">
        <v>412840969.77999997</v>
      </c>
      <c r="N43" s="10">
        <v>824875647.26999998</v>
      </c>
      <c r="O43" s="10">
        <v>439952636.41000003</v>
      </c>
      <c r="P43" s="10">
        <v>262763988.19</v>
      </c>
      <c r="Q43" s="10">
        <v>662697911.37</v>
      </c>
      <c r="R43" s="10">
        <v>343159844.68000001</v>
      </c>
      <c r="S43" s="10">
        <v>539106278</v>
      </c>
      <c r="T43" s="10">
        <v>402685980.75999999</v>
      </c>
      <c r="U43" s="10">
        <f>U3+U22</f>
        <v>-190763076.92000002</v>
      </c>
      <c r="V43" s="10">
        <f>V3+V22</f>
        <v>16438424706.209999</v>
      </c>
      <c r="W43" s="35">
        <f>V43-'Bilans 31.12.2018'!C48</f>
        <v>0</v>
      </c>
    </row>
    <row r="44" spans="1:23"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3"/>
  <sheetViews>
    <sheetView workbookViewId="0">
      <pane xSplit="2" ySplit="2" topLeftCell="M6" activePane="bottomRight" state="frozen"/>
      <selection activeCell="B47" sqref="B47"/>
      <selection pane="topRight" activeCell="B47" sqref="B47"/>
      <selection pane="bottomLeft" activeCell="B47" sqref="B47"/>
      <selection pane="bottomRight" activeCell="B47" sqref="B47"/>
    </sheetView>
  </sheetViews>
  <sheetFormatPr defaultRowHeight="15"/>
  <cols>
    <col min="1" max="1" width="3.7109375" bestFit="1" customWidth="1"/>
    <col min="2" max="2" width="41.140625" bestFit="1" customWidth="1"/>
    <col min="3" max="21" width="17.85546875" customWidth="1"/>
    <col min="22" max="23" width="19.5703125" bestFit="1" customWidth="1"/>
    <col min="24" max="24" width="18.28515625" bestFit="1" customWidth="1"/>
  </cols>
  <sheetData>
    <row r="1" spans="1:24">
      <c r="B1" s="4" t="s">
        <v>202</v>
      </c>
      <c r="C1" s="17">
        <v>43591</v>
      </c>
    </row>
    <row r="2" spans="1:24" s="7" customFormat="1" ht="31.5">
      <c r="A2" s="6" t="s">
        <v>80</v>
      </c>
      <c r="B2" s="6" t="s">
        <v>81</v>
      </c>
      <c r="C2" s="6" t="s">
        <v>82</v>
      </c>
      <c r="D2" s="6" t="s">
        <v>83</v>
      </c>
      <c r="E2" s="6" t="s">
        <v>84</v>
      </c>
      <c r="F2" s="6" t="s">
        <v>85</v>
      </c>
      <c r="G2" s="6" t="s">
        <v>86</v>
      </c>
      <c r="H2" s="6" t="s">
        <v>87</v>
      </c>
      <c r="I2" s="6" t="s">
        <v>88</v>
      </c>
      <c r="J2" s="6" t="s">
        <v>89</v>
      </c>
      <c r="K2" s="6" t="s">
        <v>90</v>
      </c>
      <c r="L2" s="6" t="s">
        <v>91</v>
      </c>
      <c r="M2" s="6" t="s">
        <v>92</v>
      </c>
      <c r="N2" s="6" t="s">
        <v>93</v>
      </c>
      <c r="O2" s="6" t="s">
        <v>94</v>
      </c>
      <c r="P2" s="6" t="s">
        <v>95</v>
      </c>
      <c r="Q2" s="6" t="s">
        <v>96</v>
      </c>
      <c r="R2" s="6" t="s">
        <v>97</v>
      </c>
      <c r="S2" s="6" t="s">
        <v>98</v>
      </c>
      <c r="T2" s="6" t="s">
        <v>99</v>
      </c>
      <c r="U2" s="6" t="s">
        <v>100</v>
      </c>
      <c r="V2" s="6" t="s">
        <v>101</v>
      </c>
      <c r="W2" s="6" t="s">
        <v>3</v>
      </c>
    </row>
    <row r="3" spans="1:24" s="11" customFormat="1" ht="14.25">
      <c r="A3" s="8"/>
      <c r="B3" s="1" t="s">
        <v>64</v>
      </c>
      <c r="C3" s="10">
        <v>423784401.75</v>
      </c>
      <c r="D3" s="10">
        <v>649737352.96000004</v>
      </c>
      <c r="E3" s="10">
        <v>786955096.36000001</v>
      </c>
      <c r="F3" s="10">
        <v>734236096.28999996</v>
      </c>
      <c r="G3" s="10">
        <v>1553207318.3499999</v>
      </c>
      <c r="H3" s="10">
        <v>140072018.69</v>
      </c>
      <c r="I3" s="10">
        <v>647672891.20000005</v>
      </c>
      <c r="J3" s="10">
        <v>156286223.81999999</v>
      </c>
      <c r="K3" s="10">
        <v>198262416.21000001</v>
      </c>
      <c r="L3" s="10">
        <v>1241064671</v>
      </c>
      <c r="M3" s="10">
        <v>456128025.92000002</v>
      </c>
      <c r="N3" s="10">
        <v>389353444.18000001</v>
      </c>
      <c r="O3" s="10">
        <v>672445620.05999994</v>
      </c>
      <c r="P3" s="10">
        <v>404677482.35000002</v>
      </c>
      <c r="Q3" s="10">
        <v>255152305.24000001</v>
      </c>
      <c r="R3" s="10">
        <v>602291778.07000005</v>
      </c>
      <c r="S3" s="10">
        <v>303280073.27999997</v>
      </c>
      <c r="T3" s="10">
        <v>284929635.63</v>
      </c>
      <c r="U3" s="10">
        <v>381811446.41000003</v>
      </c>
      <c r="V3" s="10">
        <f>V4+V5+V8+V9</f>
        <v>0</v>
      </c>
      <c r="W3" s="10">
        <f>W4+W5+W8+W9</f>
        <v>10281348297.77</v>
      </c>
      <c r="X3" s="37">
        <f>W3-'Bilans 31.12.2018'!F8</f>
        <v>0</v>
      </c>
    </row>
    <row r="4" spans="1:24" s="7" customFormat="1" ht="14.25">
      <c r="A4" s="12"/>
      <c r="B4" s="1" t="s">
        <v>7</v>
      </c>
      <c r="C4" s="14">
        <v>-12049315134.969999</v>
      </c>
      <c r="D4" s="14">
        <v>735907825.00999999</v>
      </c>
      <c r="E4" s="14">
        <v>897357133.79999995</v>
      </c>
      <c r="F4" s="14">
        <v>821023910.92999995</v>
      </c>
      <c r="G4" s="14">
        <v>1449832584.9100001</v>
      </c>
      <c r="H4" s="14">
        <v>326589982.17000002</v>
      </c>
      <c r="I4" s="14">
        <v>743254243.80999994</v>
      </c>
      <c r="J4" s="14">
        <v>197362933.72999999</v>
      </c>
      <c r="K4" s="14">
        <v>235124693.36000001</v>
      </c>
      <c r="L4" s="14">
        <v>1135328547.6600001</v>
      </c>
      <c r="M4" s="14">
        <v>531641629.14999998</v>
      </c>
      <c r="N4" s="14">
        <v>466810097.20999998</v>
      </c>
      <c r="O4" s="14">
        <v>724127178.05999994</v>
      </c>
      <c r="P4" s="14">
        <v>467630713.31999999</v>
      </c>
      <c r="Q4" s="14">
        <v>295671741.83999997</v>
      </c>
      <c r="R4" s="14">
        <v>651677403.63</v>
      </c>
      <c r="S4" s="14">
        <v>303767417.11000001</v>
      </c>
      <c r="T4" s="14">
        <v>267987649.86000001</v>
      </c>
      <c r="U4" s="14">
        <v>402369345.75</v>
      </c>
      <c r="V4" s="14"/>
      <c r="W4" s="14">
        <f>SUM(C4:V4)</f>
        <v>-1395850103.6600008</v>
      </c>
      <c r="X4" s="35">
        <f>W4-'Bilans 31.12.2018'!F9</f>
        <v>0</v>
      </c>
    </row>
    <row r="5" spans="1:24" s="41" customFormat="1" ht="14.25">
      <c r="A5" s="38"/>
      <c r="B5" s="39" t="s">
        <v>65</v>
      </c>
      <c r="C5" s="40">
        <v>12473099536.719999</v>
      </c>
      <c r="D5" s="40">
        <v>-86170472.049999997</v>
      </c>
      <c r="E5" s="40">
        <v>-110402037.44</v>
      </c>
      <c r="F5" s="40">
        <v>-86787814.640000001</v>
      </c>
      <c r="G5" s="40">
        <v>103374733.44</v>
      </c>
      <c r="H5" s="40">
        <v>-186517963.47999999</v>
      </c>
      <c r="I5" s="40">
        <v>-95581352.609999999</v>
      </c>
      <c r="J5" s="40">
        <v>-41076709.909999996</v>
      </c>
      <c r="K5" s="40">
        <v>-36862277.149999999</v>
      </c>
      <c r="L5" s="40">
        <v>105736123.34</v>
      </c>
      <c r="M5" s="40">
        <v>-75513603.230000004</v>
      </c>
      <c r="N5" s="40">
        <v>-77456653.030000001</v>
      </c>
      <c r="O5" s="40">
        <v>-51681558</v>
      </c>
      <c r="P5" s="40">
        <v>-62953230.969999999</v>
      </c>
      <c r="Q5" s="40">
        <v>-40519436.600000001</v>
      </c>
      <c r="R5" s="40">
        <v>-49385625.560000002</v>
      </c>
      <c r="S5" s="40">
        <v>-487343.83</v>
      </c>
      <c r="T5" s="40">
        <v>16941985.77</v>
      </c>
      <c r="U5" s="40">
        <v>-20557899.34</v>
      </c>
      <c r="V5" s="40">
        <f>V6+V7</f>
        <v>0</v>
      </c>
      <c r="W5" s="40">
        <f>W6+W7</f>
        <v>11677198401.43</v>
      </c>
      <c r="X5" s="37">
        <f>W5-'Bilans 31.12.2018'!F10</f>
        <v>0</v>
      </c>
    </row>
    <row r="6" spans="1:24" s="7" customFormat="1">
      <c r="A6" s="12"/>
      <c r="B6" s="2" t="s">
        <v>10</v>
      </c>
      <c r="C6" s="14">
        <v>12473099536.719999</v>
      </c>
      <c r="D6" s="14">
        <v>0</v>
      </c>
      <c r="E6" s="14">
        <v>0</v>
      </c>
      <c r="F6" s="14">
        <v>0</v>
      </c>
      <c r="G6" s="14">
        <v>103374733.44</v>
      </c>
      <c r="H6" s="14">
        <v>0</v>
      </c>
      <c r="I6" s="14">
        <v>0</v>
      </c>
      <c r="J6" s="14">
        <v>0</v>
      </c>
      <c r="K6" s="14">
        <v>0</v>
      </c>
      <c r="L6" s="14">
        <v>105736123.34</v>
      </c>
      <c r="M6" s="14">
        <v>0</v>
      </c>
      <c r="N6" s="14">
        <v>0</v>
      </c>
      <c r="O6" s="14">
        <v>0</v>
      </c>
      <c r="P6" s="14">
        <v>0</v>
      </c>
      <c r="Q6" s="14">
        <v>0</v>
      </c>
      <c r="R6" s="14">
        <v>0</v>
      </c>
      <c r="S6" s="14">
        <v>0</v>
      </c>
      <c r="T6" s="14">
        <v>16941985.77</v>
      </c>
      <c r="U6" s="14">
        <v>0</v>
      </c>
      <c r="V6" s="14"/>
      <c r="W6" s="14">
        <f t="shared" ref="W6:W11" si="0">SUM(C6:V6)</f>
        <v>12699152379.27</v>
      </c>
      <c r="X6" s="35">
        <f>W6-'Bilans 31.12.2018'!F11</f>
        <v>1021953977.8400002</v>
      </c>
    </row>
    <row r="7" spans="1:24" s="7" customFormat="1">
      <c r="A7" s="12"/>
      <c r="B7" s="2" t="s">
        <v>12</v>
      </c>
      <c r="C7" s="14">
        <v>0</v>
      </c>
      <c r="D7" s="14">
        <v>-86170472.049999997</v>
      </c>
      <c r="E7" s="14">
        <v>-110402037.44</v>
      </c>
      <c r="F7" s="14">
        <v>-86787814.640000001</v>
      </c>
      <c r="G7" s="14">
        <v>0</v>
      </c>
      <c r="H7" s="14">
        <v>-186517963.47999999</v>
      </c>
      <c r="I7" s="14">
        <v>-95581352.609999999</v>
      </c>
      <c r="J7" s="14">
        <v>-41076709.909999996</v>
      </c>
      <c r="K7" s="14">
        <v>-36862277.149999999</v>
      </c>
      <c r="L7" s="14">
        <v>0</v>
      </c>
      <c r="M7" s="14">
        <v>-75513603.230000004</v>
      </c>
      <c r="N7" s="14">
        <v>-77456653.030000001</v>
      </c>
      <c r="O7" s="14">
        <v>-51681558</v>
      </c>
      <c r="P7" s="14">
        <v>-62953230.969999999</v>
      </c>
      <c r="Q7" s="14">
        <v>-40519436.600000001</v>
      </c>
      <c r="R7" s="14">
        <v>-49385625.560000002</v>
      </c>
      <c r="S7" s="14">
        <v>-487343.83</v>
      </c>
      <c r="T7" s="14">
        <v>0</v>
      </c>
      <c r="U7" s="14">
        <v>-20557899.34</v>
      </c>
      <c r="V7" s="14"/>
      <c r="W7" s="14">
        <f t="shared" si="0"/>
        <v>-1021953977.8400002</v>
      </c>
      <c r="X7" s="35">
        <f>W7-'Bilans 31.12.2018'!F12</f>
        <v>-1021953977.8400002</v>
      </c>
    </row>
    <row r="8" spans="1:24" s="11" customFormat="1" ht="28.5">
      <c r="A8" s="8"/>
      <c r="B8" s="1" t="s">
        <v>66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V8" s="10"/>
      <c r="W8" s="10">
        <f t="shared" si="0"/>
        <v>0</v>
      </c>
      <c r="X8" s="37">
        <f>W8-'Bilans 31.12.2018'!F13</f>
        <v>0</v>
      </c>
    </row>
    <row r="9" spans="1:24" s="11" customFormat="1" ht="28.5">
      <c r="A9" s="8"/>
      <c r="B9" s="1" t="s">
        <v>15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0"/>
      <c r="W9" s="10">
        <f t="shared" si="0"/>
        <v>0</v>
      </c>
      <c r="X9" s="37">
        <f>W9-'Bilans 31.12.2018'!F14</f>
        <v>0</v>
      </c>
    </row>
    <row r="10" spans="1:24" s="11" customFormat="1" ht="14.25">
      <c r="A10" s="8"/>
      <c r="B10" s="1" t="s">
        <v>17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/>
      <c r="W10" s="10">
        <f t="shared" si="0"/>
        <v>0</v>
      </c>
      <c r="X10" s="37">
        <f>W10-'Bilans 31.12.2018'!F15</f>
        <v>0</v>
      </c>
    </row>
    <row r="11" spans="1:24" s="11" customFormat="1" ht="14.25">
      <c r="A11" s="8"/>
      <c r="B11" s="1" t="s">
        <v>19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/>
      <c r="W11" s="10">
        <f t="shared" si="0"/>
        <v>0</v>
      </c>
      <c r="X11" s="37">
        <f>W11-'Bilans 31.12.2018'!F16</f>
        <v>0</v>
      </c>
    </row>
    <row r="12" spans="1:24" s="11" customFormat="1" ht="29.25">
      <c r="A12" s="8"/>
      <c r="B12" s="1" t="s">
        <v>67</v>
      </c>
      <c r="C12" s="10">
        <v>4801484415.5699997</v>
      </c>
      <c r="D12" s="10">
        <v>19547572.02</v>
      </c>
      <c r="E12" s="10">
        <v>67806126.950000003</v>
      </c>
      <c r="F12" s="10">
        <v>67320700.670000002</v>
      </c>
      <c r="G12" s="10">
        <v>165428289.38999999</v>
      </c>
      <c r="H12" s="10">
        <v>364129157.23000002</v>
      </c>
      <c r="I12" s="10">
        <v>55492923.020000003</v>
      </c>
      <c r="J12" s="10">
        <v>41594434.329999998</v>
      </c>
      <c r="K12" s="10">
        <v>22222685.050000001</v>
      </c>
      <c r="L12" s="10">
        <v>104984351.44</v>
      </c>
      <c r="M12" s="10">
        <v>43687358.450000003</v>
      </c>
      <c r="N12" s="10">
        <v>23487525.600000001</v>
      </c>
      <c r="O12" s="10">
        <v>152430027.21000001</v>
      </c>
      <c r="P12" s="10">
        <v>35275154.060000002</v>
      </c>
      <c r="Q12" s="10">
        <v>7611682.9500000002</v>
      </c>
      <c r="R12" s="10">
        <v>60406133.299999997</v>
      </c>
      <c r="S12" s="10">
        <v>39879771.399999999</v>
      </c>
      <c r="T12" s="10">
        <v>254176642.37</v>
      </c>
      <c r="U12" s="10">
        <v>20874534.350000001</v>
      </c>
      <c r="V12" s="10">
        <f>V13+V14+V25+V26</f>
        <v>-190763076.92000005</v>
      </c>
      <c r="W12" s="10">
        <f>W13+W14+W25+W26</f>
        <v>6157076408.4400015</v>
      </c>
      <c r="X12" s="37">
        <f>W12-'Bilans 31.12.2018'!F17</f>
        <v>0</v>
      </c>
    </row>
    <row r="13" spans="1:24" s="11" customFormat="1" ht="14.25">
      <c r="A13" s="8"/>
      <c r="B13" s="1" t="s">
        <v>195</v>
      </c>
      <c r="C13" s="10">
        <v>110678.75</v>
      </c>
      <c r="D13" s="10">
        <v>0</v>
      </c>
      <c r="E13" s="10">
        <v>0</v>
      </c>
      <c r="F13" s="10">
        <v>0</v>
      </c>
      <c r="G13" s="10">
        <v>729305.55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9980.25</v>
      </c>
      <c r="O13" s="10">
        <v>0</v>
      </c>
      <c r="P13" s="10">
        <v>0</v>
      </c>
      <c r="Q13" s="10">
        <v>111983.22</v>
      </c>
      <c r="R13" s="10">
        <v>0</v>
      </c>
      <c r="S13" s="10">
        <v>887.6</v>
      </c>
      <c r="T13" s="10">
        <v>0</v>
      </c>
      <c r="U13" s="10">
        <v>40784.75</v>
      </c>
      <c r="V13" s="10">
        <f>-'[1]Nal-Zob'!$J$55</f>
        <v>-734288.3</v>
      </c>
      <c r="W13" s="10">
        <f>SUM(C13:V13)</f>
        <v>269331.81999999995</v>
      </c>
      <c r="X13" s="37">
        <f>W13-'Bilans 31.12.2018'!F18</f>
        <v>0</v>
      </c>
    </row>
    <row r="14" spans="1:24" s="11" customFormat="1" ht="14.25">
      <c r="A14" s="8"/>
      <c r="B14" s="1" t="s">
        <v>69</v>
      </c>
      <c r="C14" s="10">
        <v>258131096.21000001</v>
      </c>
      <c r="D14" s="10">
        <v>16600395.15</v>
      </c>
      <c r="E14" s="10">
        <v>29103106.440000001</v>
      </c>
      <c r="F14" s="10">
        <v>22589781.77</v>
      </c>
      <c r="G14" s="10">
        <v>42583247.189999998</v>
      </c>
      <c r="H14" s="10">
        <v>36936040.880000003</v>
      </c>
      <c r="I14" s="10">
        <v>27713345.359999999</v>
      </c>
      <c r="J14" s="10">
        <v>22747821.739999998</v>
      </c>
      <c r="K14" s="10">
        <v>8984797.4299999997</v>
      </c>
      <c r="L14" s="10">
        <v>42736919.840000004</v>
      </c>
      <c r="M14" s="10">
        <v>28025865.370000001</v>
      </c>
      <c r="N14" s="10">
        <v>15690479.09</v>
      </c>
      <c r="O14" s="10">
        <v>24448906.5</v>
      </c>
      <c r="P14" s="10">
        <v>16754609.42</v>
      </c>
      <c r="Q14" s="10">
        <v>4270659.3</v>
      </c>
      <c r="R14" s="10">
        <v>8773602.7200000007</v>
      </c>
      <c r="S14" s="10">
        <v>9722165.6400000006</v>
      </c>
      <c r="T14" s="10">
        <v>68748241.569999993</v>
      </c>
      <c r="U14" s="10">
        <v>13054933.720000001</v>
      </c>
      <c r="V14" s="10">
        <f>SUM(V15:V22)</f>
        <v>-190028788.62000003</v>
      </c>
      <c r="W14" s="10">
        <f>SUM(W15:W22)</f>
        <v>507587226.71999991</v>
      </c>
      <c r="X14" s="37">
        <f>W14-'Bilans 31.12.2018'!F19</f>
        <v>0</v>
      </c>
    </row>
    <row r="15" spans="1:24" s="7" customFormat="1">
      <c r="A15" s="12"/>
      <c r="B15" s="2" t="s">
        <v>70</v>
      </c>
      <c r="C15" s="14">
        <v>69540637.900000006</v>
      </c>
      <c r="D15" s="14">
        <v>714796.67</v>
      </c>
      <c r="E15" s="14">
        <v>1898919.04</v>
      </c>
      <c r="F15" s="14">
        <v>590530.18999999994</v>
      </c>
      <c r="G15" s="14">
        <v>1194563.29</v>
      </c>
      <c r="H15" s="14">
        <v>1013537.71</v>
      </c>
      <c r="I15" s="14">
        <v>607288.47</v>
      </c>
      <c r="J15" s="14">
        <v>1093593.83</v>
      </c>
      <c r="K15" s="14">
        <v>97900.03</v>
      </c>
      <c r="L15" s="14">
        <v>276688.75</v>
      </c>
      <c r="M15" s="14">
        <v>255801.53</v>
      </c>
      <c r="N15" s="14">
        <v>321173.21999999997</v>
      </c>
      <c r="O15" s="14">
        <v>1042762.41</v>
      </c>
      <c r="P15" s="14">
        <v>180366.16</v>
      </c>
      <c r="Q15" s="14">
        <v>301414.74</v>
      </c>
      <c r="R15" s="14">
        <v>456173.56</v>
      </c>
      <c r="S15" s="14">
        <v>43919.3</v>
      </c>
      <c r="T15" s="14">
        <v>353853.03</v>
      </c>
      <c r="U15" s="14">
        <v>120655.64</v>
      </c>
      <c r="V15" s="14"/>
      <c r="W15" s="14">
        <f t="shared" ref="W15:W21" si="1">SUM(C15:V15)</f>
        <v>80104575.469999999</v>
      </c>
      <c r="X15" s="35">
        <f>W15-'Bilans 31.12.2018'!F20</f>
        <v>0</v>
      </c>
    </row>
    <row r="16" spans="1:24" s="7" customFormat="1">
      <c r="A16" s="12"/>
      <c r="B16" s="2" t="s">
        <v>71</v>
      </c>
      <c r="C16" s="14">
        <v>10320188.41</v>
      </c>
      <c r="D16" s="14">
        <v>142219</v>
      </c>
      <c r="E16" s="14">
        <v>141542</v>
      </c>
      <c r="F16" s="14">
        <v>144492.07</v>
      </c>
      <c r="G16" s="14">
        <v>233321.25</v>
      </c>
      <c r="H16" s="14">
        <v>103162</v>
      </c>
      <c r="I16" s="14">
        <v>151537.07999999999</v>
      </c>
      <c r="J16" s="14">
        <v>106566</v>
      </c>
      <c r="K16" s="14">
        <v>68339.06</v>
      </c>
      <c r="L16" s="14">
        <v>164789</v>
      </c>
      <c r="M16" s="14">
        <v>129757</v>
      </c>
      <c r="N16" s="14">
        <v>97074.82</v>
      </c>
      <c r="O16" s="14">
        <v>143368</v>
      </c>
      <c r="P16" s="14">
        <v>112367.92</v>
      </c>
      <c r="Q16" s="14">
        <v>49316</v>
      </c>
      <c r="R16" s="14">
        <v>65131</v>
      </c>
      <c r="S16" s="14">
        <v>78872</v>
      </c>
      <c r="T16" s="14">
        <v>161724.76</v>
      </c>
      <c r="U16" s="14">
        <v>90391</v>
      </c>
      <c r="V16" s="14"/>
      <c r="W16" s="14">
        <f t="shared" si="1"/>
        <v>12504158.370000001</v>
      </c>
      <c r="X16" s="35">
        <f>W16-'Bilans 31.12.2018'!F21</f>
        <v>0</v>
      </c>
    </row>
    <row r="17" spans="1:24" s="7" customFormat="1" ht="30">
      <c r="A17" s="12"/>
      <c r="B17" s="2" t="s">
        <v>26</v>
      </c>
      <c r="C17" s="14">
        <v>30189735.649999999</v>
      </c>
      <c r="D17" s="14">
        <v>724170.94</v>
      </c>
      <c r="E17" s="14">
        <v>732822.78</v>
      </c>
      <c r="F17" s="14">
        <v>655721.25</v>
      </c>
      <c r="G17" s="14">
        <v>1187882.3899999999</v>
      </c>
      <c r="H17" s="14">
        <v>519792.04</v>
      </c>
      <c r="I17" s="14">
        <v>756156.17</v>
      </c>
      <c r="J17" s="14">
        <v>540888.09</v>
      </c>
      <c r="K17" s="14">
        <v>339932.45</v>
      </c>
      <c r="L17" s="14">
        <v>838635.96</v>
      </c>
      <c r="M17" s="14">
        <v>652822.25</v>
      </c>
      <c r="N17" s="14">
        <v>484202.66</v>
      </c>
      <c r="O17" s="14">
        <v>739540.41</v>
      </c>
      <c r="P17" s="14">
        <v>545430.64</v>
      </c>
      <c r="Q17" s="14">
        <v>254700.02</v>
      </c>
      <c r="R17" s="14">
        <v>335763.07</v>
      </c>
      <c r="S17" s="14">
        <v>400456.11</v>
      </c>
      <c r="T17" s="14">
        <v>823398.32</v>
      </c>
      <c r="U17" s="14">
        <v>445287.2</v>
      </c>
      <c r="V17" s="14"/>
      <c r="W17" s="14">
        <f t="shared" si="1"/>
        <v>41167338.400000013</v>
      </c>
      <c r="X17" s="35">
        <f>W17-'Bilans 31.12.2018'!F22</f>
        <v>0</v>
      </c>
    </row>
    <row r="18" spans="1:24" s="7" customFormat="1">
      <c r="A18" s="12"/>
      <c r="B18" s="2" t="s">
        <v>28</v>
      </c>
      <c r="C18" s="14">
        <v>18877939.079999998</v>
      </c>
      <c r="D18" s="14">
        <v>1267570.1499999999</v>
      </c>
      <c r="E18" s="14">
        <v>1260751.6299999999</v>
      </c>
      <c r="F18" s="14">
        <v>1148534.32</v>
      </c>
      <c r="G18" s="14">
        <v>2138068.4</v>
      </c>
      <c r="H18" s="14">
        <v>954913.01</v>
      </c>
      <c r="I18" s="14">
        <v>1390549.73</v>
      </c>
      <c r="J18" s="14">
        <v>1034763.18</v>
      </c>
      <c r="K18" s="14">
        <v>595500.94999999995</v>
      </c>
      <c r="L18" s="14">
        <v>1462997.53</v>
      </c>
      <c r="M18" s="14">
        <v>1136746.42</v>
      </c>
      <c r="N18" s="14">
        <v>899363.63</v>
      </c>
      <c r="O18" s="14">
        <v>1293841.47</v>
      </c>
      <c r="P18" s="14">
        <v>951671.13</v>
      </c>
      <c r="Q18" s="14">
        <v>480568.23</v>
      </c>
      <c r="R18" s="14">
        <v>583772.89</v>
      </c>
      <c r="S18" s="14">
        <v>702554.85</v>
      </c>
      <c r="T18" s="14">
        <v>1451446.97</v>
      </c>
      <c r="U18" s="14">
        <v>771820.66</v>
      </c>
      <c r="V18" s="14"/>
      <c r="W18" s="14">
        <f t="shared" si="1"/>
        <v>38403374.229999989</v>
      </c>
      <c r="X18" s="35">
        <f>W18-'Bilans 31.12.2018'!F23</f>
        <v>0</v>
      </c>
    </row>
    <row r="19" spans="1:24" s="7" customFormat="1">
      <c r="A19" s="12"/>
      <c r="B19" s="2" t="s">
        <v>30</v>
      </c>
      <c r="C19" s="14">
        <v>99462033.030000001</v>
      </c>
      <c r="D19" s="14">
        <v>10328234.029999999</v>
      </c>
      <c r="E19" s="14">
        <v>11578050.92</v>
      </c>
      <c r="F19" s="14">
        <v>16626044.029999999</v>
      </c>
      <c r="G19" s="14">
        <v>30947068.73</v>
      </c>
      <c r="H19" s="14">
        <v>31137925.539999999</v>
      </c>
      <c r="I19" s="14">
        <v>19569453.66</v>
      </c>
      <c r="J19" s="14">
        <v>18638109.41</v>
      </c>
      <c r="K19" s="14">
        <v>7004795.9100000001</v>
      </c>
      <c r="L19" s="14">
        <v>37292701.859999999</v>
      </c>
      <c r="M19" s="14">
        <v>17758230.530000001</v>
      </c>
      <c r="N19" s="14">
        <v>6235962.1500000004</v>
      </c>
      <c r="O19" s="14">
        <v>11864205.619999999</v>
      </c>
      <c r="P19" s="14">
        <v>11967633.390000001</v>
      </c>
      <c r="Q19" s="14">
        <v>2751267.63</v>
      </c>
      <c r="R19" s="14">
        <v>5764389.5999999996</v>
      </c>
      <c r="S19" s="14">
        <v>7413795.4000000004</v>
      </c>
      <c r="T19" s="14">
        <v>62809174.25</v>
      </c>
      <c r="U19" s="14">
        <v>9855187.5600000005</v>
      </c>
      <c r="V19" s="14">
        <f>-'[1]Nal-Zob'!$J$60</f>
        <v>-175123032.69000003</v>
      </c>
      <c r="W19" s="14">
        <f t="shared" si="1"/>
        <v>243881230.55999991</v>
      </c>
      <c r="X19" s="35">
        <f>W19-'Bilans 31.12.2018'!F24</f>
        <v>0</v>
      </c>
    </row>
    <row r="20" spans="1:24" s="7" customFormat="1" ht="30">
      <c r="A20" s="12"/>
      <c r="B20" s="2" t="s">
        <v>72</v>
      </c>
      <c r="C20" s="14">
        <v>21303546.039999999</v>
      </c>
      <c r="D20" s="14">
        <v>3421768.98</v>
      </c>
      <c r="E20" s="14">
        <v>13491020.07</v>
      </c>
      <c r="F20" s="14">
        <v>3424459.91</v>
      </c>
      <c r="G20" s="14">
        <v>6871242.5</v>
      </c>
      <c r="H20" s="14">
        <v>3146129.61</v>
      </c>
      <c r="I20" s="14">
        <v>5233233.7300000004</v>
      </c>
      <c r="J20" s="14">
        <v>1332120.97</v>
      </c>
      <c r="K20" s="14">
        <v>878329.03</v>
      </c>
      <c r="L20" s="14">
        <v>2345334.13</v>
      </c>
      <c r="M20" s="14">
        <v>8045788.6299999999</v>
      </c>
      <c r="N20" s="14">
        <v>7257433.1600000001</v>
      </c>
      <c r="O20" s="14">
        <v>9364097.5899999999</v>
      </c>
      <c r="P20" s="14">
        <v>2997140.18</v>
      </c>
      <c r="Q20" s="14">
        <v>433392.68</v>
      </c>
      <c r="R20" s="14">
        <v>1566062.95</v>
      </c>
      <c r="S20" s="14">
        <v>1082567.98</v>
      </c>
      <c r="T20" s="14">
        <v>3128070.58</v>
      </c>
      <c r="U20" s="14">
        <v>1771591.66</v>
      </c>
      <c r="V20" s="14">
        <f>-'[1]Nal-Zob'!$J$61</f>
        <v>-14905755.93</v>
      </c>
      <c r="W20" s="14">
        <f t="shared" si="1"/>
        <v>82187574.450000018</v>
      </c>
      <c r="X20" s="35">
        <f>W20-'Bilans 31.12.2018'!F25</f>
        <v>0</v>
      </c>
    </row>
    <row r="21" spans="1:24" s="7" customFormat="1" ht="30">
      <c r="A21" s="12"/>
      <c r="B21" s="2" t="s">
        <v>33</v>
      </c>
      <c r="C21" s="14">
        <v>505417.88</v>
      </c>
      <c r="D21" s="14">
        <v>1635.38</v>
      </c>
      <c r="E21" s="14">
        <v>0</v>
      </c>
      <c r="F21" s="14">
        <v>0</v>
      </c>
      <c r="G21" s="14">
        <v>11100.63</v>
      </c>
      <c r="H21" s="14">
        <v>60580.97</v>
      </c>
      <c r="I21" s="14">
        <v>5126.5200000000004</v>
      </c>
      <c r="J21" s="14">
        <v>1780.26</v>
      </c>
      <c r="K21" s="14">
        <v>0</v>
      </c>
      <c r="L21" s="14">
        <v>355772.61</v>
      </c>
      <c r="M21" s="14">
        <v>46719.01</v>
      </c>
      <c r="N21" s="14">
        <v>395269.45</v>
      </c>
      <c r="O21" s="14">
        <v>1091</v>
      </c>
      <c r="P21" s="14">
        <v>0</v>
      </c>
      <c r="Q21" s="14">
        <v>0</v>
      </c>
      <c r="R21" s="14">
        <v>2309.65</v>
      </c>
      <c r="S21" s="14">
        <v>0</v>
      </c>
      <c r="T21" s="14">
        <v>20573.66</v>
      </c>
      <c r="U21" s="14">
        <v>0</v>
      </c>
      <c r="V21" s="14"/>
      <c r="W21" s="14">
        <f t="shared" si="1"/>
        <v>1407377.0199999998</v>
      </c>
      <c r="X21" s="35">
        <f>W21-'Bilans 31.12.2018'!F26</f>
        <v>0</v>
      </c>
    </row>
    <row r="22" spans="1:24" s="7" customFormat="1">
      <c r="A22" s="12"/>
      <c r="B22" s="2" t="s">
        <v>35</v>
      </c>
      <c r="C22" s="14">
        <v>7931598.2199999997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  <c r="T22" s="14">
        <v>0</v>
      </c>
      <c r="U22" s="14">
        <v>0</v>
      </c>
      <c r="V22" s="14">
        <f>SUM(V23:V24)</f>
        <v>0</v>
      </c>
      <c r="W22" s="14">
        <f>SUM(W23:W24)</f>
        <v>7931598.2199999997</v>
      </c>
      <c r="X22" s="35">
        <f>W22-'Bilans 31.12.2018'!F27</f>
        <v>0</v>
      </c>
    </row>
    <row r="23" spans="1:24" s="7" customFormat="1" ht="30">
      <c r="A23" s="12"/>
      <c r="B23" s="2" t="s">
        <v>37</v>
      </c>
      <c r="C23" s="14">
        <v>7931598.2199999997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14">
        <v>0</v>
      </c>
      <c r="U23" s="14">
        <v>0</v>
      </c>
      <c r="V23" s="14"/>
      <c r="W23" s="14">
        <f>SUM(C23:V23)</f>
        <v>7931598.2199999997</v>
      </c>
      <c r="X23" s="35">
        <f>W23-'Bilans 31.12.2018'!F28</f>
        <v>0</v>
      </c>
    </row>
    <row r="24" spans="1:24" s="7" customFormat="1">
      <c r="A24" s="12"/>
      <c r="B24" s="2" t="s">
        <v>39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  <c r="V24" s="14"/>
      <c r="W24" s="14">
        <f>SUM(C24:V24)</f>
        <v>0</v>
      </c>
      <c r="X24" s="35">
        <f>W24-'Bilans 31.12.2018'!F29</f>
        <v>0</v>
      </c>
    </row>
    <row r="25" spans="1:24" s="11" customFormat="1" ht="14.25">
      <c r="A25" s="8"/>
      <c r="B25" s="1" t="s">
        <v>41</v>
      </c>
      <c r="C25" s="10">
        <v>4543242640.6099997</v>
      </c>
      <c r="D25" s="10">
        <v>304720.3</v>
      </c>
      <c r="E25" s="10">
        <v>25664340.02</v>
      </c>
      <c r="F25" s="10">
        <v>40545641.159999996</v>
      </c>
      <c r="G25" s="10">
        <v>115665693.33</v>
      </c>
      <c r="H25" s="10">
        <v>306893330.81999999</v>
      </c>
      <c r="I25" s="10">
        <v>17210528.239999998</v>
      </c>
      <c r="J25" s="10">
        <v>14673787.85</v>
      </c>
      <c r="K25" s="10">
        <v>4600454.34</v>
      </c>
      <c r="L25" s="10">
        <v>62247431.600000001</v>
      </c>
      <c r="M25" s="10">
        <v>11684650.050000001</v>
      </c>
      <c r="N25" s="10">
        <v>4612874</v>
      </c>
      <c r="O25" s="10">
        <v>114915501</v>
      </c>
      <c r="P25" s="10">
        <v>3392728.24</v>
      </c>
      <c r="Q25" s="10">
        <v>55800.39</v>
      </c>
      <c r="R25" s="10">
        <v>48987122.060000002</v>
      </c>
      <c r="S25" s="10">
        <v>23508116.25</v>
      </c>
      <c r="T25" s="10">
        <v>178584803.44999999</v>
      </c>
      <c r="U25" s="10">
        <v>3920279.56</v>
      </c>
      <c r="V25" s="10"/>
      <c r="W25" s="10">
        <f t="shared" ref="W25:W28" si="2">SUM(C25:V25)</f>
        <v>5520710443.2700014</v>
      </c>
      <c r="X25" s="37">
        <f>W25-'Bilans 31.12.2018'!F30</f>
        <v>0</v>
      </c>
    </row>
    <row r="26" spans="1:24" s="11" customFormat="1" ht="14.25">
      <c r="A26" s="8"/>
      <c r="B26" s="1" t="s">
        <v>59</v>
      </c>
      <c r="C26" s="10">
        <v>0</v>
      </c>
      <c r="D26" s="10">
        <v>2642456.5699999998</v>
      </c>
      <c r="E26" s="10">
        <v>13038680.49</v>
      </c>
      <c r="F26" s="10">
        <v>4185277.74</v>
      </c>
      <c r="G26" s="10">
        <v>6450043.3200000003</v>
      </c>
      <c r="H26" s="10">
        <v>20299785.530000001</v>
      </c>
      <c r="I26" s="10">
        <v>10569049.42</v>
      </c>
      <c r="J26" s="10">
        <v>4172824.74</v>
      </c>
      <c r="K26" s="10">
        <v>8637433.2799999993</v>
      </c>
      <c r="L26" s="10">
        <v>0</v>
      </c>
      <c r="M26" s="10">
        <v>3976843.03</v>
      </c>
      <c r="N26" s="10">
        <v>3174192.26</v>
      </c>
      <c r="O26" s="10">
        <v>13065619.710000001</v>
      </c>
      <c r="P26" s="10">
        <v>15127816.4</v>
      </c>
      <c r="Q26" s="10">
        <v>3173240.04</v>
      </c>
      <c r="R26" s="10">
        <v>2645408.52</v>
      </c>
      <c r="S26" s="10">
        <v>6648601.9100000001</v>
      </c>
      <c r="T26" s="10">
        <v>6843597.3499999996</v>
      </c>
      <c r="U26" s="10">
        <v>3858536.32</v>
      </c>
      <c r="V26" s="10">
        <f>SUM(V27:V28)</f>
        <v>0</v>
      </c>
      <c r="W26" s="10">
        <f>SUM(W27:W28)</f>
        <v>128509406.63</v>
      </c>
      <c r="X26" s="37">
        <f>W26-'Bilans 31.12.2018'!F31</f>
        <v>0</v>
      </c>
    </row>
    <row r="27" spans="1:24" s="7" customFormat="1">
      <c r="A27" s="12"/>
      <c r="B27" s="2" t="s">
        <v>44</v>
      </c>
      <c r="C27" s="14">
        <v>0</v>
      </c>
      <c r="D27" s="14">
        <v>2642456.5699999998</v>
      </c>
      <c r="E27" s="14">
        <v>13038680.49</v>
      </c>
      <c r="F27" s="14">
        <v>4185277.74</v>
      </c>
      <c r="G27" s="14">
        <v>6450043.3200000003</v>
      </c>
      <c r="H27" s="14">
        <v>20299785.530000001</v>
      </c>
      <c r="I27" s="14">
        <v>10569049.42</v>
      </c>
      <c r="J27" s="14">
        <v>4172824.74</v>
      </c>
      <c r="K27" s="14">
        <v>8637433.2799999993</v>
      </c>
      <c r="L27" s="14">
        <v>0</v>
      </c>
      <c r="M27" s="14">
        <v>3976843.03</v>
      </c>
      <c r="N27" s="14">
        <v>3174192.26</v>
      </c>
      <c r="O27" s="14">
        <v>13065619.710000001</v>
      </c>
      <c r="P27" s="14">
        <v>15127816.4</v>
      </c>
      <c r="Q27" s="14">
        <v>3173240.04</v>
      </c>
      <c r="R27" s="14">
        <v>2645408.52</v>
      </c>
      <c r="S27" s="14">
        <v>6648601.9100000001</v>
      </c>
      <c r="T27" s="14">
        <v>6843597.3499999996</v>
      </c>
      <c r="U27" s="14">
        <v>3858536.32</v>
      </c>
      <c r="V27" s="14"/>
      <c r="W27" s="14">
        <f t="shared" si="2"/>
        <v>128509406.63</v>
      </c>
      <c r="X27" s="35">
        <f>W27-'Bilans 31.12.2018'!F32</f>
        <v>0</v>
      </c>
    </row>
    <row r="28" spans="1:24" s="7" customFormat="1">
      <c r="A28" s="12"/>
      <c r="B28" s="2" t="s">
        <v>73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4">
        <v>0</v>
      </c>
      <c r="T28" s="14">
        <v>0</v>
      </c>
      <c r="U28" s="14">
        <v>0</v>
      </c>
      <c r="V28" s="14"/>
      <c r="W28" s="14">
        <f t="shared" si="2"/>
        <v>0</v>
      </c>
      <c r="X28" s="35">
        <f>W28-'Bilans 31.12.2018'!F33</f>
        <v>0</v>
      </c>
    </row>
    <row r="29" spans="1:24" s="11" customFormat="1" ht="10.5">
      <c r="A29" s="8"/>
      <c r="B29" s="9" t="s">
        <v>61</v>
      </c>
      <c r="C29" s="16">
        <v>5225268817.3199997</v>
      </c>
      <c r="D29" s="16">
        <v>669284924.98000002</v>
      </c>
      <c r="E29" s="16">
        <v>854761223.30999994</v>
      </c>
      <c r="F29" s="16">
        <v>801556796.96000004</v>
      </c>
      <c r="G29" s="16">
        <v>1718635607.74</v>
      </c>
      <c r="H29" s="16">
        <v>504201175.92000002</v>
      </c>
      <c r="I29" s="16">
        <v>703165814.22000003</v>
      </c>
      <c r="J29" s="16">
        <v>197880658.15000001</v>
      </c>
      <c r="K29" s="16">
        <v>220485101.25999999</v>
      </c>
      <c r="L29" s="16">
        <v>1346049022.4400001</v>
      </c>
      <c r="M29" s="16">
        <v>499815384.37</v>
      </c>
      <c r="N29" s="16">
        <v>412840969.77999997</v>
      </c>
      <c r="O29" s="16">
        <v>824875647.26999998</v>
      </c>
      <c r="P29" s="16">
        <v>439952636.41000003</v>
      </c>
      <c r="Q29" s="16">
        <v>262763988.19</v>
      </c>
      <c r="R29" s="16">
        <v>662697911.37</v>
      </c>
      <c r="S29" s="16">
        <v>343159844.68000001</v>
      </c>
      <c r="T29" s="16">
        <v>539106278</v>
      </c>
      <c r="U29" s="16">
        <v>402685980.75999999</v>
      </c>
      <c r="V29" s="16">
        <f>V3+V10+V11+V12</f>
        <v>-190763076.92000005</v>
      </c>
      <c r="W29" s="16">
        <f>W3+W10+W11+W12</f>
        <v>16438424706.210003</v>
      </c>
      <c r="X29" s="37">
        <f>W29-'Bilans 31.12.2018'!F48</f>
        <v>0</v>
      </c>
    </row>
    <row r="31" spans="1:24">
      <c r="C31" s="24">
        <f>C29-'Aktywa BZ'!B43</f>
        <v>0</v>
      </c>
      <c r="D31" s="24">
        <f>D29-'Aktywa BZ'!C43</f>
        <v>0</v>
      </c>
      <c r="E31" s="24">
        <f>E29-'Aktywa BZ'!D43</f>
        <v>0</v>
      </c>
      <c r="F31" s="24">
        <f>F29-'Aktywa BZ'!E43</f>
        <v>0</v>
      </c>
      <c r="G31" s="24">
        <f>G29-'Aktywa BZ'!F43</f>
        <v>0</v>
      </c>
      <c r="H31" s="24">
        <f>H29-'Aktywa BZ'!G43</f>
        <v>0</v>
      </c>
      <c r="I31" s="24">
        <f>I29-'Aktywa BZ'!H43</f>
        <v>0</v>
      </c>
      <c r="J31" s="24">
        <f>J29-'Aktywa BZ'!I43</f>
        <v>0</v>
      </c>
      <c r="K31" s="24">
        <f>K29-'Aktywa BZ'!J43</f>
        <v>0</v>
      </c>
      <c r="L31" s="24">
        <f>L29-'Aktywa BZ'!K43</f>
        <v>0</v>
      </c>
      <c r="M31" s="24">
        <f>M29-'Aktywa BZ'!L43</f>
        <v>0</v>
      </c>
      <c r="N31" s="24">
        <f>N29-'Aktywa BZ'!M43</f>
        <v>0</v>
      </c>
      <c r="O31" s="24">
        <f>O29-'Aktywa BZ'!N43</f>
        <v>0</v>
      </c>
      <c r="P31" s="24">
        <f>P29-'Aktywa BZ'!O43</f>
        <v>0</v>
      </c>
      <c r="Q31" s="24">
        <f>Q29-'Aktywa BZ'!P43</f>
        <v>0</v>
      </c>
      <c r="R31" s="24">
        <f>R29-'Aktywa BZ'!Q43</f>
        <v>0</v>
      </c>
      <c r="S31" s="24">
        <f>S29-'Aktywa BZ'!R43</f>
        <v>0</v>
      </c>
      <c r="T31" s="24">
        <f>T29-'Aktywa BZ'!S43</f>
        <v>0</v>
      </c>
      <c r="U31" s="24">
        <f>U29-'Aktywa BZ'!T43</f>
        <v>0</v>
      </c>
      <c r="V31" s="24">
        <f>V29-'Aktywa BZ'!U43</f>
        <v>0</v>
      </c>
      <c r="W31" s="24">
        <f>W29-'Aktywa BZ'!V43</f>
        <v>0</v>
      </c>
    </row>
    <row r="32" spans="1:24">
      <c r="C32" s="24">
        <f>C5-'RZiS BZ'!C40</f>
        <v>0</v>
      </c>
      <c r="D32" s="24">
        <f>D5-'RZiS BZ'!D40</f>
        <v>0</v>
      </c>
      <c r="E32" s="24">
        <f>E5-'RZiS BZ'!E40</f>
        <v>0</v>
      </c>
      <c r="F32" s="24">
        <f>F5-'RZiS BZ'!F40</f>
        <v>0</v>
      </c>
      <c r="G32" s="24">
        <f>G5-'RZiS BZ'!G40</f>
        <v>0</v>
      </c>
      <c r="H32" s="24">
        <f>H5-'RZiS BZ'!H40</f>
        <v>0</v>
      </c>
      <c r="I32" s="24">
        <f>I5-'RZiS BZ'!I40</f>
        <v>0</v>
      </c>
      <c r="J32" s="24">
        <f>J5-'RZiS BZ'!J40</f>
        <v>0</v>
      </c>
      <c r="K32" s="24">
        <f>K5-'RZiS BZ'!K40</f>
        <v>0</v>
      </c>
      <c r="L32" s="24">
        <f>L5-'RZiS BZ'!L40</f>
        <v>0</v>
      </c>
      <c r="M32" s="24">
        <f>M5-'RZiS BZ'!M40</f>
        <v>0</v>
      </c>
      <c r="N32" s="24">
        <f>N5-'RZiS BZ'!N40</f>
        <v>0</v>
      </c>
      <c r="O32" s="24">
        <f>O5-'RZiS BZ'!O40</f>
        <v>0</v>
      </c>
      <c r="P32" s="24">
        <f>P5-'RZiS BZ'!P40</f>
        <v>0</v>
      </c>
      <c r="Q32" s="24">
        <f>Q5-'RZiS BZ'!Q40</f>
        <v>0</v>
      </c>
      <c r="R32" s="24">
        <f>R5-'RZiS BZ'!R40</f>
        <v>0</v>
      </c>
      <c r="S32" s="24">
        <f>S5-'RZiS BZ'!S40</f>
        <v>0</v>
      </c>
      <c r="T32" s="24">
        <f>T5-'RZiS BZ'!T40</f>
        <v>0</v>
      </c>
      <c r="U32" s="24">
        <f>U5-'RZiS BZ'!U40</f>
        <v>0</v>
      </c>
      <c r="V32" s="24">
        <f>V5-'RZiS BZ'!V40</f>
        <v>1.1177689884789288E-9</v>
      </c>
      <c r="W32" s="24">
        <f>W5-'RZiS BZ'!W40</f>
        <v>0</v>
      </c>
    </row>
    <row r="33" spans="3:23">
      <c r="C33" s="24">
        <f>C3-'ZZwJ BZ'!D30</f>
        <v>0</v>
      </c>
      <c r="D33" s="24">
        <f>D3-'ZZwJ BZ'!E30</f>
        <v>0</v>
      </c>
      <c r="E33" s="24">
        <f>E3-'ZZwJ BZ'!F30</f>
        <v>0</v>
      </c>
      <c r="F33" s="24">
        <f>F3-'ZZwJ BZ'!G30</f>
        <v>0</v>
      </c>
      <c r="G33" s="24">
        <f>G3-'ZZwJ BZ'!H30</f>
        <v>0</v>
      </c>
      <c r="H33" s="24">
        <f>H3-'ZZwJ BZ'!I30</f>
        <v>0</v>
      </c>
      <c r="I33" s="24">
        <f>I3-'ZZwJ BZ'!J30</f>
        <v>0</v>
      </c>
      <c r="J33" s="24">
        <f>J3-'ZZwJ BZ'!K30</f>
        <v>0</v>
      </c>
      <c r="K33" s="24">
        <f>K3-'ZZwJ BZ'!L30</f>
        <v>0</v>
      </c>
      <c r="L33" s="24">
        <f>L3-'ZZwJ BZ'!M30</f>
        <v>0</v>
      </c>
      <c r="M33" s="24">
        <f>M3-'ZZwJ BZ'!N30</f>
        <v>0</v>
      </c>
      <c r="N33" s="24">
        <f>N3-'ZZwJ BZ'!O30</f>
        <v>0</v>
      </c>
      <c r="O33" s="24">
        <f>O3-'ZZwJ BZ'!P30</f>
        <v>0</v>
      </c>
      <c r="P33" s="24">
        <f>P3-'ZZwJ BZ'!Q30</f>
        <v>0</v>
      </c>
      <c r="Q33" s="24">
        <f>Q3-'ZZwJ BZ'!R30</f>
        <v>0</v>
      </c>
      <c r="R33" s="24">
        <f>R3-'ZZwJ BZ'!S30</f>
        <v>0</v>
      </c>
      <c r="S33" s="24">
        <f>S3-'ZZwJ BZ'!T30</f>
        <v>0</v>
      </c>
      <c r="T33" s="24">
        <f>T3-'ZZwJ BZ'!U30</f>
        <v>0</v>
      </c>
      <c r="U33" s="24">
        <f>U3-'ZZwJ BZ'!V30</f>
        <v>0</v>
      </c>
      <c r="V33" s="24">
        <f>V3-'ZZwJ BZ'!W30</f>
        <v>0</v>
      </c>
      <c r="W33" s="24">
        <f>W3-'ZZwJ BZ'!X30</f>
        <v>0</v>
      </c>
    </row>
  </sheetData>
  <conditionalFormatting sqref="C7:V7">
    <cfRule type="cellIs" dxfId="9" priority="5" operator="greaterThan">
      <formula>0</formula>
    </cfRule>
  </conditionalFormatting>
  <conditionalFormatting sqref="C31:W32">
    <cfRule type="cellIs" dxfId="8" priority="4" operator="notEqual">
      <formula>0</formula>
    </cfRule>
  </conditionalFormatting>
  <conditionalFormatting sqref="C33:W33">
    <cfRule type="cellIs" dxfId="7" priority="1" operator="notEqual">
      <formula>0</formula>
    </cfRule>
    <cfRule type="cellIs" dxfId="6" priority="2" operator="not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46</vt:i4>
      </vt:variant>
      <vt:variant>
        <vt:lpstr>Zakresy nazwane</vt:lpstr>
      </vt:variant>
      <vt:variant>
        <vt:i4>3</vt:i4>
      </vt:variant>
    </vt:vector>
  </HeadingPairs>
  <TitlesOfParts>
    <vt:vector size="49" baseType="lpstr">
      <vt:lpstr>Bilans 31.12.2018</vt:lpstr>
      <vt:lpstr>RZiS 31.12.2018</vt:lpstr>
      <vt:lpstr>ZZwFJ 31.12.2018</vt:lpstr>
      <vt:lpstr>Aktywa BO</vt:lpstr>
      <vt:lpstr>Pasywa BO</vt:lpstr>
      <vt:lpstr>RZiS BO</vt:lpstr>
      <vt:lpstr>ZZwFJ BO</vt:lpstr>
      <vt:lpstr>Aktywa BZ</vt:lpstr>
      <vt:lpstr>Pasywa BZ</vt:lpstr>
      <vt:lpstr>RZiS BZ</vt:lpstr>
      <vt:lpstr>ZZwJ BZ</vt:lpstr>
      <vt:lpstr>Nota II.1.1.a</vt:lpstr>
      <vt:lpstr>Nota II.1.b</vt:lpstr>
      <vt:lpstr>Nota II.1.1.c</vt:lpstr>
      <vt:lpstr>Nota II.1.2</vt:lpstr>
      <vt:lpstr>Nota II.1.3</vt:lpstr>
      <vt:lpstr>Nota II.1.4</vt:lpstr>
      <vt:lpstr>Nota II.1.5</vt:lpstr>
      <vt:lpstr>Nota II.1.6</vt:lpstr>
      <vt:lpstr>Nota II.1.7.</vt:lpstr>
      <vt:lpstr>Nota II.1.8</vt:lpstr>
      <vt:lpstr>Nota II.1.9</vt:lpstr>
      <vt:lpstr>Nota II.1.10</vt:lpstr>
      <vt:lpstr>Nota II.1.11</vt:lpstr>
      <vt:lpstr>Nota II.1.12a</vt:lpstr>
      <vt:lpstr>Nota II.1.12b</vt:lpstr>
      <vt:lpstr>Nota II.1.13a</vt:lpstr>
      <vt:lpstr>Nota II.1.13b</vt:lpstr>
      <vt:lpstr>Nota II.1.14</vt:lpstr>
      <vt:lpstr>Nota II.1.15</vt:lpstr>
      <vt:lpstr>Nota II.1.16a</vt:lpstr>
      <vt:lpstr>Nota II.1.16b</vt:lpstr>
      <vt:lpstr>Nota II.1.16c</vt:lpstr>
      <vt:lpstr>Nota II.1.16d</vt:lpstr>
      <vt:lpstr>Nota II.2.1</vt:lpstr>
      <vt:lpstr>Nota II.2.2.</vt:lpstr>
      <vt:lpstr>Nota II.2.3.</vt:lpstr>
      <vt:lpstr>Nota II.2.4</vt:lpstr>
      <vt:lpstr>Nota II.2.5a</vt:lpstr>
      <vt:lpstr>Nota II.2.5b</vt:lpstr>
      <vt:lpstr>Nota II.2.5.c</vt:lpstr>
      <vt:lpstr>Nota II.2.5.d</vt:lpstr>
      <vt:lpstr>Nota II.2.5.e</vt:lpstr>
      <vt:lpstr>Nota II.2.5.f</vt:lpstr>
      <vt:lpstr>Nota II.2.5.g</vt:lpstr>
      <vt:lpstr>Nota II.3.1</vt:lpstr>
      <vt:lpstr>'Bilans 31.12.2018'!Obszar_wydruku</vt:lpstr>
      <vt:lpstr>'RZiS 31.12.2018'!Obszar_wydruku</vt:lpstr>
      <vt:lpstr>'ZZwFJ 31.12.2018'!Obszar_wydruku</vt:lpstr>
    </vt:vector>
  </TitlesOfParts>
  <Company>UMSTW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aczapska</dc:creator>
  <cp:lastModifiedBy>Wełnicka Dorota</cp:lastModifiedBy>
  <cp:lastPrinted>2019-05-07T13:10:07Z</cp:lastPrinted>
  <dcterms:created xsi:type="dcterms:W3CDTF">2019-04-25T14:33:05Z</dcterms:created>
  <dcterms:modified xsi:type="dcterms:W3CDTF">2020-02-25T09:17:59Z</dcterms:modified>
</cp:coreProperties>
</file>