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2 Wydział Księgowości\SF_UM_2022\SF_UM_2022_Kor1\"/>
    </mc:Choice>
  </mc:AlternateContent>
  <bookViews>
    <workbookView xWindow="0" yWindow="0" windowWidth="28800" windowHeight="11700" activeTab="3"/>
  </bookViews>
  <sheets>
    <sheet name="Bilans" sheetId="1" r:id="rId1"/>
    <sheet name="RZiS" sheetId="2" r:id="rId2"/>
    <sheet name="ZZwFJ" sheetId="3" r:id="rId3"/>
    <sheet name="II.Dodatk_info" sheetId="5" r:id="rId4"/>
    <sheet name="Arkusz4" sheetId="4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8" i="5" l="1"/>
  <c r="C668" i="5"/>
  <c r="F659" i="5"/>
  <c r="E659" i="5"/>
  <c r="D659" i="5"/>
  <c r="C659" i="5"/>
  <c r="F658" i="5"/>
  <c r="E658" i="5"/>
  <c r="D658" i="5"/>
  <c r="C658" i="5"/>
  <c r="F657" i="5"/>
  <c r="E657" i="5"/>
  <c r="D657" i="5"/>
  <c r="C657" i="5"/>
  <c r="F656" i="5"/>
  <c r="E656" i="5"/>
  <c r="D656" i="5"/>
  <c r="C656" i="5"/>
  <c r="F655" i="5"/>
  <c r="E655" i="5"/>
  <c r="D655" i="5"/>
  <c r="C655" i="5"/>
  <c r="F654" i="5"/>
  <c r="E654" i="5"/>
  <c r="D654" i="5"/>
  <c r="C654" i="5"/>
  <c r="F653" i="5"/>
  <c r="E653" i="5"/>
  <c r="D653" i="5"/>
  <c r="C653" i="5"/>
  <c r="F652" i="5"/>
  <c r="E652" i="5"/>
  <c r="D652" i="5"/>
  <c r="C652" i="5"/>
  <c r="F651" i="5"/>
  <c r="E651" i="5"/>
  <c r="D651" i="5"/>
  <c r="C651" i="5"/>
  <c r="F650" i="5"/>
  <c r="E650" i="5"/>
  <c r="D650" i="5"/>
  <c r="C650" i="5"/>
  <c r="F649" i="5"/>
  <c r="E649" i="5"/>
  <c r="D649" i="5"/>
  <c r="C649" i="5"/>
  <c r="F648" i="5"/>
  <c r="E648" i="5"/>
  <c r="D648" i="5"/>
  <c r="C648" i="5"/>
  <c r="F647" i="5"/>
  <c r="E647" i="5"/>
  <c r="D647" i="5"/>
  <c r="C647" i="5"/>
  <c r="F646" i="5"/>
  <c r="E646" i="5"/>
  <c r="D646" i="5"/>
  <c r="C646" i="5"/>
  <c r="F645" i="5"/>
  <c r="E645" i="5"/>
  <c r="D645" i="5"/>
  <c r="C645" i="5"/>
  <c r="F644" i="5"/>
  <c r="E644" i="5"/>
  <c r="D644" i="5"/>
  <c r="C644" i="5"/>
  <c r="F643" i="5"/>
  <c r="E643" i="5"/>
  <c r="D643" i="5"/>
  <c r="C643" i="5"/>
  <c r="F642" i="5"/>
  <c r="E642" i="5"/>
  <c r="D642" i="5"/>
  <c r="C642" i="5"/>
  <c r="F641" i="5"/>
  <c r="E641" i="5"/>
  <c r="D641" i="5"/>
  <c r="C641" i="5"/>
  <c r="F640" i="5"/>
  <c r="E640" i="5"/>
  <c r="D640" i="5"/>
  <c r="C640" i="5"/>
  <c r="F639" i="5"/>
  <c r="E639" i="5"/>
  <c r="D639" i="5"/>
  <c r="C639" i="5"/>
  <c r="F638" i="5"/>
  <c r="E638" i="5"/>
  <c r="D638" i="5"/>
  <c r="C638" i="5"/>
  <c r="F637" i="5"/>
  <c r="E637" i="5"/>
  <c r="D637" i="5"/>
  <c r="C637" i="5"/>
  <c r="F636" i="5"/>
  <c r="F660" i="5" s="1"/>
  <c r="E636" i="5"/>
  <c r="E660" i="5" s="1"/>
  <c r="D636" i="5"/>
  <c r="D660" i="5" s="1"/>
  <c r="C636" i="5"/>
  <c r="C660" i="5" s="1"/>
  <c r="F625" i="5"/>
  <c r="E625" i="5"/>
  <c r="F624" i="5"/>
  <c r="E624" i="5"/>
  <c r="F623" i="5"/>
  <c r="E623" i="5"/>
  <c r="F622" i="5"/>
  <c r="E622" i="5"/>
  <c r="F621" i="5"/>
  <c r="E621" i="5"/>
  <c r="F620" i="5"/>
  <c r="E620" i="5"/>
  <c r="F619" i="5"/>
  <c r="E619" i="5"/>
  <c r="F618" i="5"/>
  <c r="E618" i="5"/>
  <c r="F617" i="5"/>
  <c r="E617" i="5"/>
  <c r="F616" i="5"/>
  <c r="F626" i="5" s="1"/>
  <c r="E616" i="5"/>
  <c r="E626" i="5" s="1"/>
  <c r="F609" i="5"/>
  <c r="E609" i="5"/>
  <c r="F608" i="5"/>
  <c r="E608" i="5"/>
  <c r="F607" i="5"/>
  <c r="E607" i="5"/>
  <c r="F606" i="5"/>
  <c r="E606" i="5"/>
  <c r="F605" i="5"/>
  <c r="E605" i="5"/>
  <c r="F604" i="5"/>
  <c r="E604" i="5"/>
  <c r="F603" i="5"/>
  <c r="E603" i="5"/>
  <c r="F602" i="5"/>
  <c r="E602" i="5"/>
  <c r="F601" i="5"/>
  <c r="E601" i="5"/>
  <c r="F600" i="5"/>
  <c r="E600" i="5"/>
  <c r="F599" i="5"/>
  <c r="E599" i="5"/>
  <c r="F598" i="5"/>
  <c r="F610" i="5" s="1"/>
  <c r="E598" i="5"/>
  <c r="E610" i="5" s="1"/>
  <c r="F589" i="5"/>
  <c r="E589" i="5"/>
  <c r="F588" i="5"/>
  <c r="E588" i="5"/>
  <c r="F587" i="5"/>
  <c r="E587" i="5"/>
  <c r="F586" i="5"/>
  <c r="E586" i="5"/>
  <c r="F585" i="5"/>
  <c r="E585" i="5"/>
  <c r="F584" i="5"/>
  <c r="E584" i="5"/>
  <c r="F583" i="5"/>
  <c r="E583" i="5"/>
  <c r="F582" i="5"/>
  <c r="E582" i="5"/>
  <c r="F581" i="5"/>
  <c r="E581" i="5"/>
  <c r="F580" i="5"/>
  <c r="E580" i="5"/>
  <c r="F579" i="5"/>
  <c r="E579" i="5"/>
  <c r="F578" i="5"/>
  <c r="F590" i="5" s="1"/>
  <c r="E578" i="5"/>
  <c r="E590" i="5" s="1"/>
  <c r="F569" i="5"/>
  <c r="E569" i="5"/>
  <c r="F568" i="5"/>
  <c r="E568" i="5"/>
  <c r="F567" i="5"/>
  <c r="E567" i="5"/>
  <c r="F566" i="5"/>
  <c r="E566" i="5"/>
  <c r="F565" i="5"/>
  <c r="E565" i="5"/>
  <c r="F564" i="5"/>
  <c r="E564" i="5"/>
  <c r="F563" i="5"/>
  <c r="E563" i="5"/>
  <c r="F562" i="5"/>
  <c r="E562" i="5"/>
  <c r="F561" i="5"/>
  <c r="E561" i="5"/>
  <c r="F560" i="5"/>
  <c r="E560" i="5"/>
  <c r="F559" i="5"/>
  <c r="E559" i="5"/>
  <c r="F558" i="5"/>
  <c r="E558" i="5"/>
  <c r="F557" i="5"/>
  <c r="E557" i="5"/>
  <c r="F556" i="5"/>
  <c r="E556" i="5"/>
  <c r="F555" i="5"/>
  <c r="E555" i="5"/>
  <c r="F554" i="5"/>
  <c r="F570" i="5" s="1"/>
  <c r="E554" i="5"/>
  <c r="E570" i="5" s="1"/>
  <c r="D545" i="5"/>
  <c r="C545" i="5"/>
  <c r="D544" i="5"/>
  <c r="C544" i="5"/>
  <c r="D543" i="5"/>
  <c r="C543" i="5"/>
  <c r="D542" i="5"/>
  <c r="C542" i="5"/>
  <c r="D541" i="5"/>
  <c r="C541" i="5"/>
  <c r="D540" i="5"/>
  <c r="C540" i="5"/>
  <c r="D539" i="5"/>
  <c r="C539" i="5"/>
  <c r="D538" i="5"/>
  <c r="C538" i="5"/>
  <c r="D537" i="5"/>
  <c r="C537" i="5"/>
  <c r="D536" i="5"/>
  <c r="D546" i="5" s="1"/>
  <c r="C536" i="5"/>
  <c r="C546" i="5" s="1"/>
  <c r="F526" i="5"/>
  <c r="E526" i="5"/>
  <c r="F525" i="5"/>
  <c r="E525" i="5"/>
  <c r="F524" i="5"/>
  <c r="E524" i="5"/>
  <c r="F523" i="5"/>
  <c r="E523" i="5"/>
  <c r="F522" i="5"/>
  <c r="E522" i="5"/>
  <c r="F521" i="5"/>
  <c r="E521" i="5"/>
  <c r="F514" i="5"/>
  <c r="E514" i="5"/>
  <c r="F513" i="5"/>
  <c r="E513" i="5"/>
  <c r="F512" i="5"/>
  <c r="E512" i="5"/>
  <c r="F511" i="5"/>
  <c r="E511" i="5"/>
  <c r="F510" i="5"/>
  <c r="E510" i="5"/>
  <c r="F509" i="5"/>
  <c r="E509" i="5"/>
  <c r="F508" i="5"/>
  <c r="E508" i="5"/>
  <c r="F507" i="5"/>
  <c r="E507" i="5"/>
  <c r="F506" i="5"/>
  <c r="E506" i="5"/>
  <c r="F505" i="5"/>
  <c r="E505" i="5"/>
  <c r="F504" i="5"/>
  <c r="E504" i="5"/>
  <c r="F503" i="5"/>
  <c r="E503" i="5"/>
  <c r="F502" i="5"/>
  <c r="E502" i="5"/>
  <c r="F501" i="5"/>
  <c r="E501" i="5"/>
  <c r="F500" i="5"/>
  <c r="E500" i="5"/>
  <c r="F499" i="5"/>
  <c r="E499" i="5"/>
  <c r="F498" i="5"/>
  <c r="E498" i="5"/>
  <c r="F497" i="5"/>
  <c r="E497" i="5"/>
  <c r="F496" i="5"/>
  <c r="E496" i="5"/>
  <c r="F495" i="5"/>
  <c r="E495" i="5"/>
  <c r="F494" i="5"/>
  <c r="E494" i="5"/>
  <c r="F493" i="5"/>
  <c r="E493" i="5"/>
  <c r="F492" i="5"/>
  <c r="E492" i="5"/>
  <c r="F491" i="5"/>
  <c r="E491" i="5"/>
  <c r="F490" i="5"/>
  <c r="E490" i="5"/>
  <c r="F489" i="5"/>
  <c r="E489" i="5"/>
  <c r="F488" i="5"/>
  <c r="E488" i="5"/>
  <c r="F487" i="5"/>
  <c r="E487" i="5"/>
  <c r="F486" i="5"/>
  <c r="E486" i="5"/>
  <c r="F485" i="5"/>
  <c r="E485" i="5"/>
  <c r="F484" i="5"/>
  <c r="E484" i="5"/>
  <c r="F483" i="5"/>
  <c r="E483" i="5"/>
  <c r="F482" i="5"/>
  <c r="E482" i="5"/>
  <c r="F481" i="5"/>
  <c r="E481" i="5"/>
  <c r="F480" i="5"/>
  <c r="E480" i="5"/>
  <c r="F479" i="5"/>
  <c r="E479" i="5"/>
  <c r="F478" i="5"/>
  <c r="F527" i="5" s="1"/>
  <c r="E478" i="5"/>
  <c r="E527" i="5" s="1"/>
  <c r="E462" i="5"/>
  <c r="D462" i="5"/>
  <c r="E460" i="5"/>
  <c r="D460" i="5"/>
  <c r="E455" i="5"/>
  <c r="D455" i="5"/>
  <c r="E453" i="5"/>
  <c r="D453" i="5"/>
  <c r="D418" i="5"/>
  <c r="C418" i="5"/>
  <c r="D417" i="5"/>
  <c r="C417" i="5"/>
  <c r="D416" i="5"/>
  <c r="C416" i="5"/>
  <c r="D415" i="5"/>
  <c r="C415" i="5"/>
  <c r="D414" i="5"/>
  <c r="C414" i="5"/>
  <c r="D413" i="5"/>
  <c r="C413" i="5"/>
  <c r="D412" i="5"/>
  <c r="C412" i="5"/>
  <c r="D411" i="5"/>
  <c r="C411" i="5"/>
  <c r="D410" i="5"/>
  <c r="C410" i="5"/>
  <c r="D409" i="5"/>
  <c r="C409" i="5"/>
  <c r="D408" i="5"/>
  <c r="C408" i="5"/>
  <c r="D407" i="5"/>
  <c r="D419" i="5" s="1"/>
  <c r="C407" i="5"/>
  <c r="C419" i="5" s="1"/>
  <c r="H397" i="5"/>
  <c r="G397" i="5"/>
  <c r="F397" i="5"/>
  <c r="E397" i="5"/>
  <c r="D397" i="5"/>
  <c r="C397" i="5"/>
  <c r="B397" i="5"/>
  <c r="I397" i="5" s="1"/>
  <c r="H396" i="5"/>
  <c r="G396" i="5"/>
  <c r="F396" i="5"/>
  <c r="E396" i="5"/>
  <c r="D396" i="5"/>
  <c r="C396" i="5"/>
  <c r="B396" i="5"/>
  <c r="I396" i="5" s="1"/>
  <c r="H395" i="5"/>
  <c r="H398" i="5" s="1"/>
  <c r="G395" i="5"/>
  <c r="G398" i="5" s="1"/>
  <c r="F395" i="5"/>
  <c r="F398" i="5" s="1"/>
  <c r="E395" i="5"/>
  <c r="E398" i="5" s="1"/>
  <c r="D395" i="5"/>
  <c r="D398" i="5" s="1"/>
  <c r="C395" i="5"/>
  <c r="C398" i="5" s="1"/>
  <c r="B395" i="5"/>
  <c r="I395" i="5" s="1"/>
  <c r="I398" i="5" s="1"/>
  <c r="H393" i="5"/>
  <c r="G393" i="5"/>
  <c r="F393" i="5"/>
  <c r="E393" i="5"/>
  <c r="D393" i="5"/>
  <c r="C393" i="5"/>
  <c r="B393" i="5"/>
  <c r="I393" i="5" s="1"/>
  <c r="H392" i="5"/>
  <c r="G392" i="5"/>
  <c r="F392" i="5"/>
  <c r="E392" i="5"/>
  <c r="D392" i="5"/>
  <c r="C392" i="5"/>
  <c r="B392" i="5"/>
  <c r="I392" i="5" s="1"/>
  <c r="H391" i="5"/>
  <c r="G391" i="5"/>
  <c r="F391" i="5"/>
  <c r="E391" i="5"/>
  <c r="D391" i="5"/>
  <c r="C391" i="5"/>
  <c r="B391" i="5"/>
  <c r="I391" i="5" s="1"/>
  <c r="H390" i="5"/>
  <c r="H389" i="5" s="1"/>
  <c r="G390" i="5"/>
  <c r="F390" i="5"/>
  <c r="F389" i="5" s="1"/>
  <c r="E390" i="5"/>
  <c r="D390" i="5"/>
  <c r="D389" i="5" s="1"/>
  <c r="C390" i="5"/>
  <c r="B390" i="5"/>
  <c r="I390" i="5" s="1"/>
  <c r="I389" i="5" s="1"/>
  <c r="G389" i="5"/>
  <c r="E389" i="5"/>
  <c r="C389" i="5"/>
  <c r="H388" i="5"/>
  <c r="G388" i="5"/>
  <c r="F388" i="5"/>
  <c r="E388" i="5"/>
  <c r="D388" i="5"/>
  <c r="C388" i="5"/>
  <c r="B388" i="5"/>
  <c r="I388" i="5" s="1"/>
  <c r="H387" i="5"/>
  <c r="G387" i="5"/>
  <c r="F387" i="5"/>
  <c r="E387" i="5"/>
  <c r="D387" i="5"/>
  <c r="C387" i="5"/>
  <c r="B387" i="5"/>
  <c r="I387" i="5" s="1"/>
  <c r="H386" i="5"/>
  <c r="H385" i="5" s="1"/>
  <c r="G386" i="5"/>
  <c r="F386" i="5"/>
  <c r="F385" i="5" s="1"/>
  <c r="E386" i="5"/>
  <c r="D386" i="5"/>
  <c r="D385" i="5" s="1"/>
  <c r="C386" i="5"/>
  <c r="B386" i="5"/>
  <c r="I386" i="5" s="1"/>
  <c r="I385" i="5" s="1"/>
  <c r="G385" i="5"/>
  <c r="E385" i="5"/>
  <c r="C385" i="5"/>
  <c r="H384" i="5"/>
  <c r="H394" i="5" s="1"/>
  <c r="H400" i="5" s="1"/>
  <c r="G384" i="5"/>
  <c r="G399" i="5" s="1"/>
  <c r="F384" i="5"/>
  <c r="F399" i="5" s="1"/>
  <c r="E384" i="5"/>
  <c r="E399" i="5" s="1"/>
  <c r="D384" i="5"/>
  <c r="D394" i="5" s="1"/>
  <c r="D400" i="5" s="1"/>
  <c r="C384" i="5"/>
  <c r="C399" i="5" s="1"/>
  <c r="B384" i="5"/>
  <c r="I384" i="5" s="1"/>
  <c r="D368" i="5"/>
  <c r="C368" i="5"/>
  <c r="D361" i="5"/>
  <c r="D362" i="5" s="1"/>
  <c r="C361" i="5"/>
  <c r="C362" i="5" s="1"/>
  <c r="D354" i="5"/>
  <c r="C354" i="5"/>
  <c r="D353" i="5"/>
  <c r="C353" i="5"/>
  <c r="D352" i="5"/>
  <c r="C352" i="5"/>
  <c r="D351" i="5"/>
  <c r="C351" i="5"/>
  <c r="D350" i="5"/>
  <c r="C350" i="5"/>
  <c r="D349" i="5"/>
  <c r="C349" i="5"/>
  <c r="D348" i="5"/>
  <c r="C348" i="5"/>
  <c r="D347" i="5"/>
  <c r="C347" i="5"/>
  <c r="D346" i="5"/>
  <c r="C346" i="5"/>
  <c r="D345" i="5"/>
  <c r="C345" i="5"/>
  <c r="D344" i="5"/>
  <c r="C344" i="5"/>
  <c r="D343" i="5"/>
  <c r="C343" i="5"/>
  <c r="D342" i="5"/>
  <c r="D355" i="5" s="1"/>
  <c r="C342" i="5"/>
  <c r="C355" i="5" s="1"/>
  <c r="D328" i="5"/>
  <c r="C328" i="5"/>
  <c r="D327" i="5"/>
  <c r="C327" i="5"/>
  <c r="D326" i="5"/>
  <c r="C326" i="5"/>
  <c r="D325" i="5"/>
  <c r="C325" i="5"/>
  <c r="D324" i="5"/>
  <c r="C324" i="5"/>
  <c r="D323" i="5"/>
  <c r="C323" i="5"/>
  <c r="D322" i="5"/>
  <c r="C322" i="5"/>
  <c r="D321" i="5"/>
  <c r="C321" i="5"/>
  <c r="D320" i="5"/>
  <c r="C320" i="5"/>
  <c r="D319" i="5"/>
  <c r="C319" i="5"/>
  <c r="D318" i="5"/>
  <c r="C318" i="5"/>
  <c r="D317" i="5"/>
  <c r="C317" i="5"/>
  <c r="D316" i="5"/>
  <c r="C316" i="5"/>
  <c r="D315" i="5"/>
  <c r="C315" i="5"/>
  <c r="D314" i="5"/>
  <c r="C314" i="5"/>
  <c r="D313" i="5"/>
  <c r="C313" i="5"/>
  <c r="D312" i="5"/>
  <c r="C312" i="5"/>
  <c r="D311" i="5"/>
  <c r="C311" i="5"/>
  <c r="D310" i="5"/>
  <c r="C310" i="5"/>
  <c r="D309" i="5"/>
  <c r="C309" i="5"/>
  <c r="D308" i="5"/>
  <c r="C308" i="5"/>
  <c r="D307" i="5"/>
  <c r="D329" i="5" s="1"/>
  <c r="C307" i="5"/>
  <c r="C329" i="5" s="1"/>
  <c r="D299" i="5"/>
  <c r="C299" i="5"/>
  <c r="D297" i="5"/>
  <c r="C297" i="5"/>
  <c r="D296" i="5"/>
  <c r="C296" i="5"/>
  <c r="D295" i="5"/>
  <c r="C295" i="5"/>
  <c r="D294" i="5"/>
  <c r="C294" i="5"/>
  <c r="D293" i="5"/>
  <c r="C293" i="5"/>
  <c r="D292" i="5"/>
  <c r="C292" i="5"/>
  <c r="D291" i="5"/>
  <c r="C291" i="5"/>
  <c r="D290" i="5"/>
  <c r="D300" i="5" s="1"/>
  <c r="C290" i="5"/>
  <c r="C300" i="5" s="1"/>
  <c r="D283" i="5"/>
  <c r="C283" i="5"/>
  <c r="D282" i="5"/>
  <c r="C282" i="5"/>
  <c r="D281" i="5"/>
  <c r="C281" i="5"/>
  <c r="D280" i="5"/>
  <c r="C280" i="5"/>
  <c r="D279" i="5"/>
  <c r="C279" i="5"/>
  <c r="D278" i="5"/>
  <c r="C278" i="5"/>
  <c r="D277" i="5"/>
  <c r="C277" i="5"/>
  <c r="D276" i="5"/>
  <c r="C276" i="5"/>
  <c r="D275" i="5"/>
  <c r="D284" i="5" s="1"/>
  <c r="C275" i="5"/>
  <c r="C284" i="5" s="1"/>
  <c r="D250" i="5"/>
  <c r="C250" i="5"/>
  <c r="D249" i="5"/>
  <c r="C249" i="5"/>
  <c r="D248" i="5"/>
  <c r="C248" i="5"/>
  <c r="D247" i="5"/>
  <c r="C247" i="5"/>
  <c r="D246" i="5"/>
  <c r="C246" i="5"/>
  <c r="D245" i="5"/>
  <c r="C245" i="5"/>
  <c r="D244" i="5"/>
  <c r="C244" i="5"/>
  <c r="D243" i="5"/>
  <c r="C243" i="5"/>
  <c r="D242" i="5"/>
  <c r="C242" i="5"/>
  <c r="D241" i="5"/>
  <c r="C241" i="5"/>
  <c r="D240" i="5"/>
  <c r="C240" i="5"/>
  <c r="D239" i="5"/>
  <c r="D251" i="5" s="1"/>
  <c r="C239" i="5"/>
  <c r="C251" i="5" s="1"/>
  <c r="G231" i="5"/>
  <c r="F231" i="5"/>
  <c r="E231" i="5"/>
  <c r="D231" i="5"/>
  <c r="H231" i="5" s="1"/>
  <c r="G230" i="5"/>
  <c r="F230" i="5"/>
  <c r="E230" i="5"/>
  <c r="D230" i="5"/>
  <c r="G229" i="5"/>
  <c r="F229" i="5"/>
  <c r="E229" i="5"/>
  <c r="D229" i="5"/>
  <c r="H229" i="5" s="1"/>
  <c r="G228" i="5"/>
  <c r="F228" i="5"/>
  <c r="E228" i="5"/>
  <c r="D228" i="5"/>
  <c r="H228" i="5" s="1"/>
  <c r="G227" i="5"/>
  <c r="F227" i="5"/>
  <c r="E227" i="5"/>
  <c r="D227" i="5"/>
  <c r="H227" i="5" s="1"/>
  <c r="G226" i="5"/>
  <c r="F226" i="5"/>
  <c r="E226" i="5"/>
  <c r="D226" i="5"/>
  <c r="G225" i="5"/>
  <c r="F225" i="5"/>
  <c r="E225" i="5"/>
  <c r="D225" i="5"/>
  <c r="H225" i="5" s="1"/>
  <c r="G224" i="5"/>
  <c r="F224" i="5"/>
  <c r="E224" i="5"/>
  <c r="D224" i="5"/>
  <c r="H224" i="5" s="1"/>
  <c r="G223" i="5"/>
  <c r="F223" i="5"/>
  <c r="E223" i="5"/>
  <c r="D223" i="5"/>
  <c r="H223" i="5" s="1"/>
  <c r="G222" i="5"/>
  <c r="G232" i="5" s="1"/>
  <c r="F222" i="5"/>
  <c r="E222" i="5"/>
  <c r="E232" i="5" s="1"/>
  <c r="D222" i="5"/>
  <c r="G215" i="5"/>
  <c r="E215" i="5"/>
  <c r="H214" i="5"/>
  <c r="G214" i="5"/>
  <c r="F214" i="5"/>
  <c r="E214" i="5"/>
  <c r="I214" i="5" s="1"/>
  <c r="H213" i="5"/>
  <c r="G213" i="5"/>
  <c r="F213" i="5"/>
  <c r="E213" i="5"/>
  <c r="I213" i="5" s="1"/>
  <c r="H212" i="5"/>
  <c r="G212" i="5"/>
  <c r="F212" i="5"/>
  <c r="E212" i="5"/>
  <c r="H211" i="5"/>
  <c r="G211" i="5"/>
  <c r="F211" i="5"/>
  <c r="E211" i="5"/>
  <c r="I211" i="5" s="1"/>
  <c r="H210" i="5"/>
  <c r="G210" i="5"/>
  <c r="F210" i="5"/>
  <c r="E210" i="5"/>
  <c r="I210" i="5" s="1"/>
  <c r="G201" i="5"/>
  <c r="G200" i="5"/>
  <c r="F200" i="5"/>
  <c r="E200" i="5"/>
  <c r="D200" i="5"/>
  <c r="C200" i="5"/>
  <c r="I199" i="5"/>
  <c r="H199" i="5"/>
  <c r="G199" i="5"/>
  <c r="F199" i="5"/>
  <c r="E199" i="5"/>
  <c r="D199" i="5"/>
  <c r="C199" i="5"/>
  <c r="G198" i="5"/>
  <c r="F198" i="5"/>
  <c r="E198" i="5"/>
  <c r="D198" i="5"/>
  <c r="C198" i="5"/>
  <c r="I197" i="5"/>
  <c r="H197" i="5"/>
  <c r="G197" i="5"/>
  <c r="F197" i="5"/>
  <c r="E197" i="5"/>
  <c r="D197" i="5"/>
  <c r="C197" i="5"/>
  <c r="I196" i="5"/>
  <c r="H196" i="5"/>
  <c r="G196" i="5"/>
  <c r="F196" i="5"/>
  <c r="E196" i="5"/>
  <c r="D196" i="5"/>
  <c r="C196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D194" i="5"/>
  <c r="C194" i="5"/>
  <c r="I193" i="5"/>
  <c r="H193" i="5"/>
  <c r="G193" i="5"/>
  <c r="F193" i="5"/>
  <c r="E193" i="5"/>
  <c r="D193" i="5"/>
  <c r="C193" i="5"/>
  <c r="I192" i="5"/>
  <c r="H192" i="5"/>
  <c r="G192" i="5"/>
  <c r="F192" i="5"/>
  <c r="E192" i="5"/>
  <c r="D192" i="5"/>
  <c r="C192" i="5"/>
  <c r="I191" i="5"/>
  <c r="H191" i="5"/>
  <c r="G191" i="5"/>
  <c r="F191" i="5"/>
  <c r="E191" i="5"/>
  <c r="D191" i="5"/>
  <c r="C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7" i="5"/>
  <c r="H187" i="5"/>
  <c r="G187" i="5"/>
  <c r="F187" i="5"/>
  <c r="E187" i="5"/>
  <c r="D187" i="5"/>
  <c r="C187" i="5"/>
  <c r="I186" i="5"/>
  <c r="H186" i="5"/>
  <c r="G186" i="5"/>
  <c r="F186" i="5"/>
  <c r="E186" i="5"/>
  <c r="D186" i="5"/>
  <c r="C186" i="5"/>
  <c r="I185" i="5"/>
  <c r="H185" i="5"/>
  <c r="G185" i="5"/>
  <c r="F185" i="5"/>
  <c r="E185" i="5"/>
  <c r="D185" i="5"/>
  <c r="C185" i="5"/>
  <c r="I184" i="5"/>
  <c r="H184" i="5"/>
  <c r="G184" i="5"/>
  <c r="F184" i="5"/>
  <c r="E184" i="5"/>
  <c r="D184" i="5"/>
  <c r="C184" i="5"/>
  <c r="I183" i="5"/>
  <c r="H183" i="5"/>
  <c r="G183" i="5"/>
  <c r="F183" i="5"/>
  <c r="E183" i="5"/>
  <c r="D183" i="5"/>
  <c r="C183" i="5"/>
  <c r="I182" i="5"/>
  <c r="H182" i="5"/>
  <c r="G182" i="5"/>
  <c r="F182" i="5"/>
  <c r="E182" i="5"/>
  <c r="D182" i="5"/>
  <c r="C182" i="5"/>
  <c r="I181" i="5"/>
  <c r="H181" i="5"/>
  <c r="G181" i="5"/>
  <c r="F181" i="5"/>
  <c r="E181" i="5"/>
  <c r="D181" i="5"/>
  <c r="C181" i="5"/>
  <c r="I180" i="5"/>
  <c r="H180" i="5"/>
  <c r="G180" i="5"/>
  <c r="F180" i="5"/>
  <c r="E180" i="5"/>
  <c r="D180" i="5"/>
  <c r="C180" i="5"/>
  <c r="I179" i="5"/>
  <c r="H179" i="5"/>
  <c r="G179" i="5"/>
  <c r="F179" i="5"/>
  <c r="E179" i="5"/>
  <c r="D179" i="5"/>
  <c r="C179" i="5"/>
  <c r="I178" i="5"/>
  <c r="H178" i="5"/>
  <c r="G178" i="5"/>
  <c r="F178" i="5"/>
  <c r="E178" i="5"/>
  <c r="D178" i="5"/>
  <c r="C178" i="5"/>
  <c r="I177" i="5"/>
  <c r="I201" i="5" s="1"/>
  <c r="H177" i="5"/>
  <c r="H201" i="5" s="1"/>
  <c r="G177" i="5"/>
  <c r="F177" i="5"/>
  <c r="F201" i="5" s="1"/>
  <c r="E177" i="5"/>
  <c r="E201" i="5" s="1"/>
  <c r="D177" i="5"/>
  <c r="C177" i="5"/>
  <c r="G169" i="5"/>
  <c r="F169" i="5"/>
  <c r="E169" i="5"/>
  <c r="D169" i="5"/>
  <c r="C169" i="5"/>
  <c r="I168" i="5"/>
  <c r="H168" i="5"/>
  <c r="G168" i="5"/>
  <c r="F168" i="5"/>
  <c r="E168" i="5"/>
  <c r="D168" i="5"/>
  <c r="C168" i="5"/>
  <c r="G167" i="5"/>
  <c r="F167" i="5"/>
  <c r="E167" i="5"/>
  <c r="D167" i="5"/>
  <c r="C167" i="5"/>
  <c r="I166" i="5"/>
  <c r="H166" i="5"/>
  <c r="G166" i="5"/>
  <c r="F166" i="5"/>
  <c r="E166" i="5"/>
  <c r="D166" i="5"/>
  <c r="C166" i="5"/>
  <c r="I165" i="5"/>
  <c r="H165" i="5"/>
  <c r="G165" i="5"/>
  <c r="F165" i="5"/>
  <c r="E165" i="5"/>
  <c r="D165" i="5"/>
  <c r="C165" i="5"/>
  <c r="I164" i="5"/>
  <c r="H164" i="5"/>
  <c r="G164" i="5"/>
  <c r="F164" i="5"/>
  <c r="E164" i="5"/>
  <c r="D164" i="5"/>
  <c r="C164" i="5"/>
  <c r="I163" i="5"/>
  <c r="H163" i="5"/>
  <c r="G163" i="5"/>
  <c r="F163" i="5"/>
  <c r="E163" i="5"/>
  <c r="D163" i="5"/>
  <c r="C163" i="5"/>
  <c r="I162" i="5"/>
  <c r="H162" i="5"/>
  <c r="G162" i="5"/>
  <c r="F162" i="5"/>
  <c r="E162" i="5"/>
  <c r="D162" i="5"/>
  <c r="C162" i="5"/>
  <c r="I161" i="5"/>
  <c r="H161" i="5"/>
  <c r="G161" i="5"/>
  <c r="F161" i="5"/>
  <c r="E161" i="5"/>
  <c r="D161" i="5"/>
  <c r="C161" i="5"/>
  <c r="I160" i="5"/>
  <c r="H160" i="5"/>
  <c r="G160" i="5"/>
  <c r="F160" i="5"/>
  <c r="E160" i="5"/>
  <c r="D160" i="5"/>
  <c r="C160" i="5"/>
  <c r="I159" i="5"/>
  <c r="H159" i="5"/>
  <c r="G159" i="5"/>
  <c r="F159" i="5"/>
  <c r="E159" i="5"/>
  <c r="D159" i="5"/>
  <c r="C159" i="5"/>
  <c r="I158" i="5"/>
  <c r="H158" i="5"/>
  <c r="G158" i="5"/>
  <c r="F158" i="5"/>
  <c r="E158" i="5"/>
  <c r="D158" i="5"/>
  <c r="C158" i="5"/>
  <c r="I157" i="5"/>
  <c r="H157" i="5"/>
  <c r="G157" i="5"/>
  <c r="F157" i="5"/>
  <c r="E157" i="5"/>
  <c r="D157" i="5"/>
  <c r="C157" i="5"/>
  <c r="I156" i="5"/>
  <c r="H156" i="5"/>
  <c r="G156" i="5"/>
  <c r="F156" i="5"/>
  <c r="E156" i="5"/>
  <c r="D156" i="5"/>
  <c r="C156" i="5"/>
  <c r="I155" i="5"/>
  <c r="H155" i="5"/>
  <c r="G155" i="5"/>
  <c r="F155" i="5"/>
  <c r="E155" i="5"/>
  <c r="D155" i="5"/>
  <c r="C155" i="5"/>
  <c r="I154" i="5"/>
  <c r="H154" i="5"/>
  <c r="G154" i="5"/>
  <c r="F154" i="5"/>
  <c r="E154" i="5"/>
  <c r="D154" i="5"/>
  <c r="C154" i="5"/>
  <c r="I153" i="5"/>
  <c r="H153" i="5"/>
  <c r="G153" i="5"/>
  <c r="F153" i="5"/>
  <c r="E153" i="5"/>
  <c r="D153" i="5"/>
  <c r="C153" i="5"/>
  <c r="I152" i="5"/>
  <c r="H152" i="5"/>
  <c r="G152" i="5"/>
  <c r="F152" i="5"/>
  <c r="E152" i="5"/>
  <c r="D152" i="5"/>
  <c r="C152" i="5"/>
  <c r="I151" i="5"/>
  <c r="H151" i="5"/>
  <c r="G151" i="5"/>
  <c r="F151" i="5"/>
  <c r="E151" i="5"/>
  <c r="D151" i="5"/>
  <c r="C151" i="5"/>
  <c r="I150" i="5"/>
  <c r="H150" i="5"/>
  <c r="G150" i="5"/>
  <c r="F150" i="5"/>
  <c r="E150" i="5"/>
  <c r="D150" i="5"/>
  <c r="C150" i="5"/>
  <c r="I149" i="5"/>
  <c r="H149" i="5"/>
  <c r="G149" i="5"/>
  <c r="F149" i="5"/>
  <c r="E149" i="5"/>
  <c r="D149" i="5"/>
  <c r="C149" i="5"/>
  <c r="I148" i="5"/>
  <c r="H148" i="5"/>
  <c r="G148" i="5"/>
  <c r="F148" i="5"/>
  <c r="E148" i="5"/>
  <c r="D148" i="5"/>
  <c r="C148" i="5"/>
  <c r="I147" i="5"/>
  <c r="H147" i="5"/>
  <c r="G147" i="5"/>
  <c r="F147" i="5"/>
  <c r="E147" i="5"/>
  <c r="D147" i="5"/>
  <c r="C147" i="5"/>
  <c r="I146" i="5"/>
  <c r="H146" i="5"/>
  <c r="G146" i="5"/>
  <c r="F146" i="5"/>
  <c r="E146" i="5"/>
  <c r="D146" i="5"/>
  <c r="C146" i="5"/>
  <c r="I145" i="5"/>
  <c r="H145" i="5"/>
  <c r="G145" i="5"/>
  <c r="F145" i="5"/>
  <c r="E145" i="5"/>
  <c r="D145" i="5"/>
  <c r="C145" i="5"/>
  <c r="I144" i="5"/>
  <c r="H144" i="5"/>
  <c r="H170" i="5" s="1"/>
  <c r="G144" i="5"/>
  <c r="F144" i="5"/>
  <c r="F170" i="5" s="1"/>
  <c r="E144" i="5"/>
  <c r="D144" i="5"/>
  <c r="C144" i="5"/>
  <c r="D135" i="5"/>
  <c r="C135" i="5"/>
  <c r="D134" i="5"/>
  <c r="C134" i="5"/>
  <c r="D133" i="5"/>
  <c r="C133" i="5"/>
  <c r="D132" i="5"/>
  <c r="C132" i="5"/>
  <c r="D131" i="5"/>
  <c r="C131" i="5"/>
  <c r="D129" i="5"/>
  <c r="C129" i="5"/>
  <c r="C120" i="5"/>
  <c r="B120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I114" i="5" s="1"/>
  <c r="H111" i="5"/>
  <c r="H114" i="5" s="1"/>
  <c r="G111" i="5"/>
  <c r="G114" i="5" s="1"/>
  <c r="F111" i="5"/>
  <c r="F114" i="5" s="1"/>
  <c r="E111" i="5"/>
  <c r="E114" i="5" s="1"/>
  <c r="D111" i="5"/>
  <c r="D114" i="5" s="1"/>
  <c r="C111" i="5"/>
  <c r="C114" i="5" s="1"/>
  <c r="B111" i="5"/>
  <c r="B114" i="5" s="1"/>
  <c r="D92" i="5"/>
  <c r="C92" i="5"/>
  <c r="E92" i="5" s="1"/>
  <c r="B92" i="5"/>
  <c r="D91" i="5"/>
  <c r="C91" i="5"/>
  <c r="E91" i="5" s="1"/>
  <c r="B91" i="5"/>
  <c r="D90" i="5"/>
  <c r="D93" i="5" s="1"/>
  <c r="C90" i="5"/>
  <c r="C93" i="5" s="1"/>
  <c r="B90" i="5"/>
  <c r="B93" i="5" s="1"/>
  <c r="D87" i="5"/>
  <c r="C87" i="5"/>
  <c r="E87" i="5" s="1"/>
  <c r="B87" i="5"/>
  <c r="D86" i="5"/>
  <c r="C86" i="5"/>
  <c r="E86" i="5" s="1"/>
  <c r="B86" i="5"/>
  <c r="D85" i="5"/>
  <c r="C85" i="5"/>
  <c r="E85" i="5" s="1"/>
  <c r="B85" i="5"/>
  <c r="D84" i="5"/>
  <c r="C84" i="5"/>
  <c r="B84" i="5"/>
  <c r="D83" i="5"/>
  <c r="C83" i="5"/>
  <c r="E83" i="5" s="1"/>
  <c r="B83" i="5"/>
  <c r="D82" i="5"/>
  <c r="C82" i="5"/>
  <c r="E82" i="5" s="1"/>
  <c r="E81" i="5" s="1"/>
  <c r="B82" i="5"/>
  <c r="D81" i="5"/>
  <c r="C81" i="5"/>
  <c r="B81" i="5"/>
  <c r="D80" i="5"/>
  <c r="D95" i="5" s="1"/>
  <c r="C80" i="5"/>
  <c r="C95" i="5" s="1"/>
  <c r="B80" i="5"/>
  <c r="B95" i="5" s="1"/>
  <c r="C65" i="5"/>
  <c r="C64" i="5"/>
  <c r="C66" i="5" s="1"/>
  <c r="C63" i="5"/>
  <c r="C60" i="5"/>
  <c r="C59" i="5"/>
  <c r="C58" i="5" s="1"/>
  <c r="C57" i="5"/>
  <c r="C56" i="5"/>
  <c r="C55" i="5"/>
  <c r="C61" i="5" s="1"/>
  <c r="C54" i="5"/>
  <c r="C51" i="5"/>
  <c r="C50" i="5"/>
  <c r="C49" i="5" s="1"/>
  <c r="C52" i="5" s="1"/>
  <c r="C69" i="5" s="1"/>
  <c r="C48" i="5"/>
  <c r="C47" i="5"/>
  <c r="C46" i="5"/>
  <c r="C45" i="5"/>
  <c r="C68" i="5" s="1"/>
  <c r="G34" i="5"/>
  <c r="C34" i="5"/>
  <c r="H31" i="5"/>
  <c r="G31" i="5"/>
  <c r="F31" i="5"/>
  <c r="E31" i="5"/>
  <c r="D31" i="5"/>
  <c r="C31" i="5"/>
  <c r="B31" i="5"/>
  <c r="I31" i="5" s="1"/>
  <c r="H30" i="5"/>
  <c r="G30" i="5"/>
  <c r="F30" i="5"/>
  <c r="E30" i="5"/>
  <c r="D30" i="5"/>
  <c r="C30" i="5"/>
  <c r="B30" i="5"/>
  <c r="I30" i="5" s="1"/>
  <c r="H29" i="5"/>
  <c r="H32" i="5" s="1"/>
  <c r="G29" i="5"/>
  <c r="G32" i="5" s="1"/>
  <c r="F29" i="5"/>
  <c r="F32" i="5" s="1"/>
  <c r="E29" i="5"/>
  <c r="E32" i="5" s="1"/>
  <c r="D29" i="5"/>
  <c r="D32" i="5" s="1"/>
  <c r="C29" i="5"/>
  <c r="C32" i="5" s="1"/>
  <c r="B29" i="5"/>
  <c r="I29" i="5" s="1"/>
  <c r="H26" i="5"/>
  <c r="G26" i="5"/>
  <c r="F26" i="5"/>
  <c r="E26" i="5"/>
  <c r="D26" i="5"/>
  <c r="C26" i="5"/>
  <c r="B26" i="5"/>
  <c r="I26" i="5" s="1"/>
  <c r="H25" i="5"/>
  <c r="G25" i="5"/>
  <c r="F25" i="5"/>
  <c r="E25" i="5"/>
  <c r="D25" i="5"/>
  <c r="C25" i="5"/>
  <c r="B25" i="5"/>
  <c r="I25" i="5" s="1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I23" i="5" s="1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I21" i="5" s="1"/>
  <c r="H20" i="5"/>
  <c r="G20" i="5"/>
  <c r="F20" i="5"/>
  <c r="E20" i="5"/>
  <c r="D20" i="5"/>
  <c r="C20" i="5"/>
  <c r="B20" i="5"/>
  <c r="H19" i="5"/>
  <c r="H27" i="5" s="1"/>
  <c r="G19" i="5"/>
  <c r="G27" i="5" s="1"/>
  <c r="F19" i="5"/>
  <c r="F27" i="5" s="1"/>
  <c r="E19" i="5"/>
  <c r="E27" i="5" s="1"/>
  <c r="D19" i="5"/>
  <c r="D27" i="5" s="1"/>
  <c r="C19" i="5"/>
  <c r="C27" i="5" s="1"/>
  <c r="B19" i="5"/>
  <c r="I19" i="5" s="1"/>
  <c r="H16" i="5"/>
  <c r="G16" i="5"/>
  <c r="F16" i="5"/>
  <c r="E16" i="5"/>
  <c r="D16" i="5"/>
  <c r="C16" i="5"/>
  <c r="B16" i="5"/>
  <c r="I16" i="5" s="1"/>
  <c r="H15" i="5"/>
  <c r="G15" i="5"/>
  <c r="F15" i="5"/>
  <c r="E15" i="5"/>
  <c r="D15" i="5"/>
  <c r="C15" i="5"/>
  <c r="B15" i="5"/>
  <c r="I15" i="5" s="1"/>
  <c r="H14" i="5"/>
  <c r="G14" i="5"/>
  <c r="F14" i="5"/>
  <c r="E14" i="5"/>
  <c r="D14" i="5"/>
  <c r="C14" i="5"/>
  <c r="B14" i="5"/>
  <c r="H13" i="5"/>
  <c r="G13" i="5"/>
  <c r="F13" i="5"/>
  <c r="E13" i="5"/>
  <c r="D13" i="5"/>
  <c r="C13" i="5"/>
  <c r="B13" i="5"/>
  <c r="I13" i="5" s="1"/>
  <c r="H12" i="5"/>
  <c r="G12" i="5"/>
  <c r="F12" i="5"/>
  <c r="E12" i="5"/>
  <c r="D12" i="5"/>
  <c r="C12" i="5"/>
  <c r="B12" i="5"/>
  <c r="I12" i="5" s="1"/>
  <c r="H11" i="5"/>
  <c r="G11" i="5"/>
  <c r="F11" i="5"/>
  <c r="E11" i="5"/>
  <c r="D11" i="5"/>
  <c r="C11" i="5"/>
  <c r="B11" i="5"/>
  <c r="I11" i="5" s="1"/>
  <c r="H10" i="5"/>
  <c r="G10" i="5"/>
  <c r="F10" i="5"/>
  <c r="E10" i="5"/>
  <c r="D10" i="5"/>
  <c r="C10" i="5"/>
  <c r="B10" i="5"/>
  <c r="H9" i="5"/>
  <c r="H34" i="5" s="1"/>
  <c r="G9" i="5"/>
  <c r="G17" i="5" s="1"/>
  <c r="G35" i="5" s="1"/>
  <c r="F9" i="5"/>
  <c r="F34" i="5" s="1"/>
  <c r="E9" i="5"/>
  <c r="E34" i="5" s="1"/>
  <c r="D9" i="5"/>
  <c r="D34" i="5" s="1"/>
  <c r="C9" i="5"/>
  <c r="C17" i="5" s="1"/>
  <c r="C35" i="5" s="1"/>
  <c r="B9" i="5"/>
  <c r="B34" i="5" s="1"/>
  <c r="D32" i="3"/>
  <c r="C32" i="3"/>
  <c r="D31" i="3"/>
  <c r="C31" i="3"/>
  <c r="C30" i="3"/>
  <c r="D28" i="3"/>
  <c r="C28" i="3"/>
  <c r="D27" i="3"/>
  <c r="D25" i="3"/>
  <c r="D19" i="3" s="1"/>
  <c r="C25" i="3"/>
  <c r="D20" i="3"/>
  <c r="C20" i="3"/>
  <c r="C19" i="3"/>
  <c r="D18" i="3"/>
  <c r="C18" i="3"/>
  <c r="D16" i="3"/>
  <c r="D14" i="3"/>
  <c r="D8" i="3" s="1"/>
  <c r="D29" i="3" s="1"/>
  <c r="C14" i="3"/>
  <c r="D9" i="3"/>
  <c r="C9" i="3"/>
  <c r="C8" i="3"/>
  <c r="C29" i="3" s="1"/>
  <c r="D39" i="2"/>
  <c r="C39" i="2"/>
  <c r="D35" i="2"/>
  <c r="C35" i="2"/>
  <c r="D33" i="2"/>
  <c r="D31" i="2"/>
  <c r="C31" i="2"/>
  <c r="C30" i="2"/>
  <c r="D27" i="2"/>
  <c r="C27" i="2"/>
  <c r="D24" i="2"/>
  <c r="C24" i="2"/>
  <c r="D19" i="2"/>
  <c r="C19" i="2"/>
  <c r="C15" i="2" s="1"/>
  <c r="C26" i="2" s="1"/>
  <c r="C34" i="2" s="1"/>
  <c r="C42" i="2" s="1"/>
  <c r="C45" i="2" s="1"/>
  <c r="C18" i="2"/>
  <c r="D15" i="2"/>
  <c r="D14" i="2"/>
  <c r="C14" i="2"/>
  <c r="D9" i="2"/>
  <c r="C9" i="2"/>
  <c r="D8" i="2"/>
  <c r="D26" i="2" s="1"/>
  <c r="D34" i="2" s="1"/>
  <c r="D42" i="2" s="1"/>
  <c r="D45" i="2" s="1"/>
  <c r="C8" i="2"/>
  <c r="C39" i="1"/>
  <c r="B39" i="1"/>
  <c r="C37" i="1"/>
  <c r="B37" i="1"/>
  <c r="C33" i="1"/>
  <c r="B33" i="1"/>
  <c r="F31" i="1"/>
  <c r="E31" i="1"/>
  <c r="C28" i="1"/>
  <c r="B28" i="1"/>
  <c r="F27" i="1"/>
  <c r="E27" i="1"/>
  <c r="C27" i="1"/>
  <c r="B27" i="1"/>
  <c r="F24" i="1"/>
  <c r="E24" i="1"/>
  <c r="C21" i="1"/>
  <c r="B21" i="1"/>
  <c r="C20" i="1"/>
  <c r="B20" i="1"/>
  <c r="F19" i="1"/>
  <c r="E19" i="1"/>
  <c r="F18" i="1"/>
  <c r="E18" i="1"/>
  <c r="F17" i="1"/>
  <c r="E17" i="1"/>
  <c r="F12" i="1"/>
  <c r="E12" i="1"/>
  <c r="F11" i="1"/>
  <c r="E11" i="1"/>
  <c r="C11" i="1"/>
  <c r="B11" i="1"/>
  <c r="F10" i="1"/>
  <c r="E10" i="1"/>
  <c r="C10" i="1"/>
  <c r="B10" i="1"/>
  <c r="F8" i="1"/>
  <c r="F48" i="1" s="1"/>
  <c r="E8" i="1"/>
  <c r="E48" i="1" s="1"/>
  <c r="C8" i="1"/>
  <c r="C48" i="1" s="1"/>
  <c r="B8" i="1"/>
  <c r="B48" i="1" s="1"/>
  <c r="I10" i="5" l="1"/>
  <c r="I14" i="5"/>
  <c r="I20" i="5"/>
  <c r="I27" i="5" s="1"/>
  <c r="I24" i="5"/>
  <c r="I32" i="5"/>
  <c r="E84" i="5"/>
  <c r="I215" i="5"/>
  <c r="B17" i="5"/>
  <c r="D17" i="5"/>
  <c r="D35" i="5" s="1"/>
  <c r="F17" i="5"/>
  <c r="F35" i="5" s="1"/>
  <c r="H17" i="5"/>
  <c r="H35" i="5" s="1"/>
  <c r="B27" i="5"/>
  <c r="B32" i="5"/>
  <c r="E80" i="5"/>
  <c r="E90" i="5"/>
  <c r="E93" i="5" s="1"/>
  <c r="I399" i="5"/>
  <c r="I394" i="5"/>
  <c r="I400" i="5" s="1"/>
  <c r="F394" i="5"/>
  <c r="F400" i="5" s="1"/>
  <c r="D399" i="5"/>
  <c r="H399" i="5"/>
  <c r="I9" i="5"/>
  <c r="E17" i="5"/>
  <c r="E35" i="5" s="1"/>
  <c r="C88" i="5"/>
  <c r="C96" i="5" s="1"/>
  <c r="E170" i="5"/>
  <c r="G170" i="5"/>
  <c r="I170" i="5"/>
  <c r="F215" i="5"/>
  <c r="H215" i="5"/>
  <c r="I212" i="5"/>
  <c r="D232" i="5"/>
  <c r="F232" i="5"/>
  <c r="H226" i="5"/>
  <c r="H230" i="5"/>
  <c r="B385" i="5"/>
  <c r="B394" i="5" s="1"/>
  <c r="B400" i="5" s="1"/>
  <c r="B389" i="5"/>
  <c r="B398" i="5"/>
  <c r="B399" i="5"/>
  <c r="B88" i="5"/>
  <c r="B96" i="5" s="1"/>
  <c r="D88" i="5"/>
  <c r="D96" i="5" s="1"/>
  <c r="H222" i="5"/>
  <c r="H232" i="5" s="1"/>
  <c r="C394" i="5"/>
  <c r="C400" i="5" s="1"/>
  <c r="E394" i="5"/>
  <c r="E400" i="5" s="1"/>
  <c r="G394" i="5"/>
  <c r="G400" i="5" s="1"/>
  <c r="G29" i="3"/>
  <c r="C34" i="3"/>
  <c r="D30" i="3"/>
  <c r="G30" i="3" s="1"/>
  <c r="C53" i="2"/>
  <c r="F45" i="2"/>
  <c r="D53" i="2"/>
  <c r="G45" i="2"/>
  <c r="E50" i="1"/>
  <c r="F50" i="1"/>
  <c r="I34" i="5" l="1"/>
  <c r="I17" i="5"/>
  <c r="I35" i="5" s="1"/>
  <c r="E95" i="5"/>
  <c r="E88" i="5"/>
  <c r="E96" i="5" s="1"/>
  <c r="B35" i="5"/>
  <c r="D34" i="3"/>
</calcChain>
</file>

<file path=xl/sharedStrings.xml><?xml version="1.0" encoding="utf-8"?>
<sst xmlns="http://schemas.openxmlformats.org/spreadsheetml/2006/main" count="773" uniqueCount="556">
  <si>
    <r>
      <t xml:space="preserve">Nazwa i adres jednostki sprawozdawczej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</si>
  <si>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Bilans jednostki budżetowej lub samorządowego zakładu budżetowego
sporządzony na dzień 31.12.2022 r.</t>
  </si>
  <si>
    <r>
      <t xml:space="preserve">
Adresat:
</t>
    </r>
    <r>
      <rPr>
        <b/>
        <sz val="11"/>
        <color theme="1"/>
        <rFont val="Calibri"/>
        <family val="2"/>
        <charset val="238"/>
        <scheme val="minor"/>
      </rPr>
      <t>m.st. Warszawa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</si>
  <si>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Numer identyfikacyjny</t>
  </si>
  <si>
    <t>Korekta 1</t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</si>
  <si>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15259640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</si>
  <si>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</si>
  <si>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</si>
  <si>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</si>
  <si>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</si>
  <si>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</si>
  <si>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</si>
  <si>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</si>
  <si>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</si>
  <si>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</si>
  <si>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</si>
  <si>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</si>
  <si>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</si>
  <si>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</si>
  <si>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</si>
  <si>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</si>
  <si>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</si>
  <si>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</si>
  <si>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</si>
  <si>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</si>
  <si>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</si>
  <si>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</si>
  <si>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</si>
  <si>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</si>
  <si>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</si>
  <si>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t>2. Środki trwałe w budowie (inwestycje)</t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</si>
  <si>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</si>
  <si>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</si>
  <si>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</si>
  <si>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</si>
  <si>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</si>
  <si>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</si>
  <si>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</si>
  <si>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</si>
  <si>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</si>
  <si>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</si>
  <si>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</si>
  <si>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</si>
  <si>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</si>
  <si>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</si>
  <si>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</si>
  <si>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</si>
  <si>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</si>
  <si>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</si>
  <si>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</si>
  <si>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</si>
  <si>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</si>
  <si>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</si>
  <si>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</si>
  <si>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</si>
  <si>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</si>
  <si>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</si>
  <si>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</si>
  <si>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</si>
  <si>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</si>
  <si>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</si>
  <si>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</si>
  <si>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</si>
  <si>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</si>
  <si>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</si>
  <si>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</si>
  <si>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</si>
  <si>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</si>
  <si>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</si>
  <si>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</si>
  <si>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</si>
  <si>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</si>
  <si>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</si>
  <si>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</si>
  <si>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</si>
  <si>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</si>
  <si>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</si>
  <si>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</si>
  <si>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</si>
  <si>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(rok, miesiąc, dzień)</t>
  </si>
  <si>
    <t>.......................................</t>
  </si>
  <si>
    <t>(główny księgowy)</t>
  </si>
  <si>
    <t>(kierownik jednostki)</t>
  </si>
  <si>
    <t>Rachunek zysków i strat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</si>
  <si>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>m.st. Warszawa</t>
    </r>
  </si>
  <si>
    <t>(wariant porównawczy)</t>
  </si>
  <si>
    <t>sporządzony na dzień 31.12.2022 r.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</si>
  <si>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</si>
  <si>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</si>
  <si>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</si>
  <si>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</si>
  <si>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</si>
  <si>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</si>
  <si>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</si>
  <si>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</si>
  <si>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</si>
  <si>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</si>
  <si>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</si>
  <si>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</si>
  <si>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</si>
  <si>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</si>
  <si>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</si>
  <si>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</si>
  <si>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</si>
  <si>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</si>
  <si>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</si>
  <si>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</si>
  <si>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</si>
  <si>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</si>
  <si>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</si>
  <si>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</si>
  <si>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</si>
  <si>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</si>
  <si>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</si>
  <si>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</si>
  <si>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</si>
  <si>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</si>
  <si>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</si>
  <si>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</si>
  <si>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</si>
  <si>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</si>
  <si>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</si>
  <si>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</si>
  <si>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</si>
  <si>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</si>
  <si>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</si>
  <si>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</si>
  <si>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(rok-miesiąc-dzień)</t>
  </si>
  <si>
    <t>..................................................</t>
  </si>
  <si>
    <t>........................................</t>
  </si>
  <si>
    <r>
      <t xml:space="preserve">Nazwa i adres jednostki sprawozdawczej 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</si>
  <si>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Zestawienie zmian w funduszu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</si>
  <si>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 xml:space="preserve">m.st. Warszawa </t>
    </r>
  </si>
  <si>
    <t xml:space="preserve">sporządzone na dzień 31.12.2022 r.
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</si>
  <si>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</si>
  <si>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</si>
  <si>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</si>
  <si>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</si>
  <si>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</si>
  <si>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</si>
  <si>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</si>
  <si>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</si>
  <si>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</si>
  <si>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</si>
  <si>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</si>
  <si>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</si>
  <si>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</si>
  <si>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</si>
  <si>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</si>
  <si>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</si>
  <si>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</si>
  <si>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</si>
  <si>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</si>
  <si>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</si>
  <si>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</si>
  <si>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</si>
  <si>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</si>
  <si>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</si>
  <si>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</si>
  <si>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</si>
  <si>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</si>
  <si>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V. Fundusz (II+,-III-IV)</t>
  </si>
  <si>
    <t>.................................................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</si>
  <si>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</si>
  <si>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</si>
  <si>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</si>
  <si>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</si>
  <si>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</si>
  <si>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</si>
  <si>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</si>
  <si>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</si>
  <si>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</si>
  <si>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</si>
  <si>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</si>
  <si>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</si>
  <si>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</si>
  <si>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</si>
  <si>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</si>
  <si>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</si>
  <si>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</si>
  <si>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</si>
  <si>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</si>
  <si>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</si>
  <si>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</si>
  <si>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</si>
  <si>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</si>
  <si>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</si>
  <si>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>Stan na  koniec roku</t>
  </si>
  <si>
    <t xml:space="preserve">II.1.1.b. Wartości niematerialne i prawne  - zmiany w ciągu roku obrotowego 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</si>
  <si>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</si>
  <si>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</si>
  <si>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</si>
  <si>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</si>
  <si>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</si>
  <si>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</si>
  <si>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</si>
  <si>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</si>
  <si>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</si>
  <si>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</si>
  <si>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</si>
  <si>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</si>
  <si>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</si>
  <si>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>Wartość początkowa na koniec roku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</si>
  <si>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</si>
  <si>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</si>
  <si>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</si>
  <si>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</si>
  <si>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 xml:space="preserve">Z uwagi na znaczącą ilość składników mienia stanowiących środki trwałe gromadzenie informacji o ich aktualnej wartości rynkowej wymagałoby poniesienia istotnych kosztów. </t>
  </si>
  <si>
    <t>W rezultacie odstąpiono od pozyskiwania tego typu danych.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</si>
  <si>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</si>
  <si>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</si>
  <si>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</si>
  <si>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</si>
  <si>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</si>
  <si>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</si>
  <si>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</si>
  <si>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</si>
  <si>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</si>
  <si>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</si>
  <si>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</si>
  <si>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</si>
  <si>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</si>
  <si>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II.1.4. Grunty użytkowane wieczyście </t>
  </si>
  <si>
    <t>Treść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</si>
  <si>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</si>
  <si>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</si>
  <si>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</si>
  <si>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w tym: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</si>
  <si>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</si>
  <si>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</si>
  <si>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</si>
  <si>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</si>
  <si>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</si>
  <si>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</si>
  <si>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</si>
  <si>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</si>
  <si>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bieżącego roku</t>
  </si>
  <si>
    <t>Kapitały własne na dzień 31 grudnia bieżącego roku</t>
  </si>
  <si>
    <t xml:space="preserve">GGKO Zarządzanie Nieruchomościami Sp. z o.o. </t>
  </si>
  <si>
    <t>Metro Warszawskie Sp. z o.o.</t>
  </si>
  <si>
    <t>Miejskie Przedsiębiorstwo Oczyszczania w m. st. Warszawie Sp. z o.o.</t>
  </si>
  <si>
    <t>Miejskie Przedsiębiorstwo Realizacji Inwestycji Sp. z o.o.</t>
  </si>
  <si>
    <t>Miejskie Przedsiębiorstwo Usług Komunalnych Sp. z o.o.</t>
  </si>
  <si>
    <t xml:space="preserve">Miejskie Przedsiębiorstwo Wodociągów i Kanalizacji w m. st. Warszawie SA </t>
  </si>
  <si>
    <t>Miejskie Zakłady Autobusowe Sp. z o.o.</t>
  </si>
  <si>
    <t>Przedsiębiorstwo Gospodarki Maszynami Budownictwa "Warszawa" Sp. z o.o.</t>
  </si>
  <si>
    <t>"WAREXPO" Sp. z o.o.</t>
  </si>
  <si>
    <t>Szybka Kolej Miejska Sp. z o.o.</t>
  </si>
  <si>
    <t>TBS Warszawa Południe Sp. z o.o.</t>
  </si>
  <si>
    <t>TBS Warszawa Północ Sp. z o.o.</t>
  </si>
  <si>
    <t>Tramwaje Warszawskie Sp. z o.o.</t>
  </si>
  <si>
    <t>Zarząd Pałacu Kultury i Nauki Sp. z o.o.</t>
  </si>
  <si>
    <t>Centrum Medyczne Żelazna Sp. z o.o.</t>
  </si>
  <si>
    <t>Szpital Solec Sp. z o.o.</t>
  </si>
  <si>
    <t>Stołeczne Centrum Opiekuńczo-Lecznicze Sp. z o.o.</t>
  </si>
  <si>
    <t>Szpital Praski p.w. Przemienienia Pańskiego Sp. z o.o.</t>
  </si>
  <si>
    <t>Szpital Grochowski im. dr med. Rafała Masztaka Sp. z o.o.</t>
  </si>
  <si>
    <t>Szpital Czerniakowski Sp. z o.o.</t>
  </si>
  <si>
    <t>Sedeco Sp. z o.o.</t>
  </si>
  <si>
    <t>Warszawskie Centrum Opieki Medycznej "Kopernik" Sp. z o.o.</t>
  </si>
  <si>
    <t>Szpital Wolski im. Anny Gostyńskiej Sp. z o.o.</t>
  </si>
  <si>
    <t>Country House U.A. Sp. z o.o. w likwidacji</t>
  </si>
  <si>
    <t>Mazowiecki Fundusz Poręczeń Kredytowych Sp. z o.o.</t>
  </si>
  <si>
    <t>inne (poniżej 20%)</t>
  </si>
  <si>
    <t>Razem</t>
  </si>
  <si>
    <t>II.1.6. Liczba i wartość posiadanych akcji i udziałów c.d.</t>
  </si>
  <si>
    <t>Zysk/(strata) netto za rok zakończony dnia 31 grudnia poprzedniego roku</t>
  </si>
  <si>
    <t>Kapitały własne na dzień 31 grudnia poprzedniego roku</t>
  </si>
  <si>
    <t xml:space="preserve">Miejskie Przedsiębiorstwo Wodociągów i Kanalizacji w m.st. Warszawie SA </t>
  </si>
  <si>
    <t xml:space="preserve">II.1.7. Odpisy aktualizujące wartość należności </t>
  </si>
  <si>
    <t>Wyszczególnienie odpisów z tytułu</t>
  </si>
  <si>
    <t>Zmiany stanu odpisów w ciągu roku obrotowego</t>
  </si>
  <si>
    <t>Wykorzystanie</t>
  </si>
  <si>
    <t>Rozwiązanie</t>
  </si>
  <si>
    <t>w tym: należności finansowe (pożyczki zagrożone)</t>
  </si>
  <si>
    <t>2</t>
  </si>
  <si>
    <t>Należności krótkoterminowe</t>
  </si>
  <si>
    <t>3</t>
  </si>
  <si>
    <t>Należności alimentacyjne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</si>
  <si>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</si>
  <si>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</si>
  <si>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</si>
  <si>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</si>
  <si>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</si>
  <si>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>Rozwiązane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</si>
  <si>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</si>
  <si>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</si>
  <si>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</si>
  <si>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</si>
  <si>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</si>
  <si>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 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</si>
  <si>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</si>
  <si>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</si>
  <si>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</si>
  <si>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Rezerwy na odszkodowania z tytułu bezumownego korzystania z nieruchomości</t>
  </si>
  <si>
    <t>Inne rezerwy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</si>
  <si>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</si>
  <si>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</si>
  <si>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</si>
  <si>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</si>
  <si>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</si>
  <si>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</si>
  <si>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</si>
  <si>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</si>
  <si>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Nie wystąpiły przypadki kwalifikowania umów leasingu zgodnie z przepisami podatkowymi.</t>
  </si>
  <si>
    <t>II.1.11. Zobowiązania zabezpieczone na majątku jednostki</t>
  </si>
  <si>
    <t>W 2022 roku nie wystąpiły zobowiązania zabezpieczone na majątku jednostki.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</si>
  <si>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</si>
  <si>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</si>
  <si>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</si>
  <si>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</si>
  <si>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Zabezpieczenie środków otrzymanych z Ministerstwa Kultury i Dziedzictwa Narodowego na rezlizację projektu pn. Renowacja i adaptacja na cele kulturalne piwnic Stromiejskich Warszawy na obszarze wpisu na listę Światowego dziedzictwa UNESCO w ramach umowy nr 39/PL0236/NMF/2018 oraz zabezpieczenie umowy pożyczki nr ENERG/03/06/2021 z Mazowieckiego Regionalnego Funduszu Pożyczkowego Sp. z o.o.. W 2021 roku wykazano zabezpieczenie środków otrzymanych z NFOŚiGW na realizację inwestycji objętej porozumieniem o rezalizacji projektu ISPA 2000/PL/16/P/PE/020 pn. Zaopatrzenie w wodę i oczyszczanie ścieków w Warszawie, które wygasło 31.03.2022 roku.</t>
  </si>
  <si>
    <r>
      <t>Poręczenia</t>
    </r>
    <r>
      <rPr>
        <sz val="10"/>
        <color indexed="8"/>
        <rFont val="Calibri"/>
        <family val="2"/>
        <charset val="238"/>
        <scheme val="minor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</si>
  <si>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</si>
  <si>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</si>
  <si>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</si>
  <si>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</si>
  <si>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</si>
  <si>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</si>
  <si>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</si>
  <si>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na odszkodowania z tytułu naruszenia zasady pierwszeństwa</t>
  </si>
  <si>
    <t xml:space="preserve">za grunty wydzielone pod drogi </t>
  </si>
  <si>
    <t xml:space="preserve">za wywłaszczenie nieruchomości  </t>
  </si>
  <si>
    <t>na odszkodowania za nieruchomości warszawskie (DEKRET BIERUTA z dnia 26 października 1945 r.)</t>
  </si>
  <si>
    <t xml:space="preserve">na odszkodowania związane z uchwaleniem planu miejscowego zagospodarowania </t>
  </si>
  <si>
    <t>za grunty zajęte pod drogi</t>
  </si>
  <si>
    <t xml:space="preserve">za grunty przejęte pod drogi w oparciu o tzw. Specustawę </t>
  </si>
  <si>
    <t>na odszkodowania z tytułu bezumownego korzystania z nieruchomości</t>
  </si>
  <si>
    <t>zobowiązania warunkowe z tytułu zasiedzeń</t>
  </si>
  <si>
    <t>inne sprawy sporne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</si>
  <si>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</si>
  <si>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</si>
  <si>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</si>
  <si>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</si>
  <si>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</si>
  <si>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</si>
  <si>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</si>
  <si>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</si>
  <si>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</si>
  <si>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</si>
  <si>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</si>
  <si>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</si>
  <si>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</si>
  <si>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</si>
  <si>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</si>
  <si>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</si>
  <si>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</si>
  <si>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</si>
  <si>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</si>
  <si>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</si>
  <si>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</si>
  <si>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</si>
  <si>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</si>
  <si>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</si>
  <si>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pozostałe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</si>
  <si>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</si>
  <si>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</si>
  <si>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</si>
  <si>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</si>
  <si>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</si>
  <si>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</si>
  <si>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</t>
  </si>
  <si>
    <t>Kwota wypłaty
 w roku poprzednim</t>
  </si>
  <si>
    <t>Kwota wypłaty
 w roku bieżącym</t>
  </si>
  <si>
    <t>Świadczenia pracownicze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</si>
  <si>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</si>
  <si>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</si>
  <si>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</si>
  <si>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</si>
  <si>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</si>
  <si>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</si>
  <si>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</si>
  <si>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</si>
  <si>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</si>
  <si>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</si>
  <si>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</si>
  <si>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</si>
  <si>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</si>
  <si>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</si>
  <si>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</si>
  <si>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</si>
  <si>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</si>
  <si>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</si>
  <si>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</si>
  <si>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</si>
  <si>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</si>
  <si>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</si>
  <si>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</si>
  <si>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</si>
  <si>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</si>
  <si>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</si>
  <si>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</si>
  <si>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</si>
  <si>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</si>
  <si>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</si>
  <si>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</si>
  <si>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</si>
  <si>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</si>
  <si>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</si>
  <si>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</si>
  <si>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W 2022 r. nie wystąpiły odpisy aktualizujące wartość zapasów.</t>
  </si>
  <si>
    <t>II.2.2. Koszt wytworzenia środków trwałych w budowie poniesiony w okresie</t>
  </si>
  <si>
    <t>( środki trwałe wytworzone siłami własnymi )</t>
  </si>
  <si>
    <t>W 2022 r. Urząd  m.st. Warszawy nie poniósł kosztów wytworzenia środków trwałych siłami własnymi.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</si>
  <si>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</si>
  <si>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</si>
  <si>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</si>
  <si>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</si>
  <si>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>o nadzwyczajnej wartości</t>
  </si>
  <si>
    <t>które wystąpiły incydentalnie, w tym:</t>
  </si>
  <si>
    <t>przychody z tytułu grantów, dotacji i darowizn otrzymanych w związku z pandemią COVID-19</t>
  </si>
  <si>
    <t>przychody z tytułu środków (w tym grantów, dotacji i darowizn) otrzymanych na pomoc obywatelom Ukrainy</t>
  </si>
  <si>
    <t>przychody z tytułu środków otrzymanych z funduszu przeciwdziałania COVID-19 przeznaczonych na inne realizację innych zadań</t>
  </si>
  <si>
    <t>przychody ze sprzedaży węgla</t>
  </si>
  <si>
    <t>Koszty</t>
  </si>
  <si>
    <t>koszty przeciwdziałania i usuwania skutków pandemii COVID-19</t>
  </si>
  <si>
    <t>koszty pomocy udzielonej obywatelom Ukrainy</t>
  </si>
  <si>
    <t>koszty wypłat dodatków cieplnych dla gospodarstw domowych, dodatków dla podmiotów wrażliwych oraz rekompensat dla przedsiębiorców energetycznych realizowanych ze środków otrzymanych w ramach funduszu przeciwdziałania COVID-19</t>
  </si>
  <si>
    <t>wartość sprzedanego węgla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</si>
  <si>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</si>
  <si>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Nie dotyczy.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</si>
  <si>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</si>
  <si>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</si>
  <si>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</si>
  <si>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  <scheme val="minor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</si>
  <si>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</si>
  <si>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</si>
  <si>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</si>
  <si>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</si>
  <si>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</si>
  <si>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</si>
  <si>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</si>
  <si>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</si>
  <si>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</si>
  <si>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</si>
  <si>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</si>
  <si>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</si>
  <si>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</si>
  <si>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</si>
  <si>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</si>
  <si>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</si>
  <si>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</si>
  <si>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</si>
  <si>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</si>
  <si>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</si>
  <si>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</si>
  <si>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</si>
  <si>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</si>
  <si>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</si>
  <si>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</si>
  <si>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</si>
  <si>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</si>
  <si>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</si>
  <si>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</si>
  <si>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 xml:space="preserve">przychody z tyt. opłat za pobyt 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</si>
  <si>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</si>
  <si>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</si>
  <si>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</si>
  <si>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</si>
  <si>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</si>
  <si>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II.2.5.a. Struktura przychodów c.d.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</si>
  <si>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</si>
  <si>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</si>
  <si>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</si>
  <si>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</si>
  <si>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</si>
  <si>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*</t>
  </si>
  <si>
    <r>
      <t>Razem</t>
    </r>
    <r>
      <rPr>
        <sz val="10"/>
        <color indexed="8"/>
        <rFont val="Times New Roman"/>
        <family val="1"/>
        <charset val="238"/>
      </rPr>
      <t/>
    </r>
  </si>
  <si>
    <t>* W pozycji "inne" w obrotach roku bieżącego zostały wykazane przychody z tytułu środków otrzymanych z Funduszu Pomocy Ukrainie oraz Funduszu Narodów Zjednoczonych na Rzecz Dzieci - UNICEF w wysokości 518 156 394,90 zł.</t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</si>
  <si>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</si>
  <si>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</si>
  <si>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</si>
  <si>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</si>
  <si>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</si>
  <si>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</si>
  <si>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</si>
  <si>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</si>
  <si>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</si>
  <si>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</si>
  <si>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</si>
  <si>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</si>
  <si>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</si>
  <si>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</si>
  <si>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</si>
  <si>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</si>
  <si>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</si>
  <si>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</si>
  <si>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</si>
  <si>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</si>
  <si>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</si>
  <si>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</si>
  <si>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</si>
  <si>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</si>
  <si>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</si>
  <si>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</si>
  <si>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</si>
  <si>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środki pieniężne 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</si>
  <si>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</si>
  <si>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</si>
  <si>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</si>
  <si>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</si>
  <si>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</si>
  <si>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</si>
  <si>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</si>
  <si>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</si>
  <si>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odpisów aktualizujących wartość nieruchomości inwestycyjnych</t>
  </si>
  <si>
    <t>utworzenie odpisów aktualizujących wartość należności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</si>
  <si>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</si>
  <si>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</si>
  <si>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</si>
  <si>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</si>
  <si>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Calibri"/>
        <family val="2"/>
        <charset val="238"/>
        <scheme val="minor"/>
      </rPr>
      <t>inne koszty operacyjne</t>
    </r>
    <r>
      <rPr>
        <i/>
        <sz val="10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ubiegłych, itp.)</t>
    </r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</si>
  <si>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</si>
  <si>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</si>
  <si>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</si>
  <si>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</si>
  <si>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</si>
  <si>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</si>
  <si>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</si>
  <si>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</si>
  <si>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</si>
  <si>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</si>
  <si>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</si>
  <si>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</si>
  <si>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pozostałe 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</si>
  <si>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</si>
  <si>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</si>
  <si>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</si>
  <si>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</si>
  <si>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</si>
  <si>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</si>
  <si>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</si>
  <si>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</si>
  <si>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</si>
  <si>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</si>
  <si>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</si>
  <si>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</si>
  <si>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</si>
  <si>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</si>
  <si>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SEDECO Sp. z. o.o.</t>
  </si>
  <si>
    <t>WAREXPO Sp. z o.o.</t>
  </si>
  <si>
    <t>Szpital SOLEC Sp. z o.o.</t>
  </si>
  <si>
    <t>Szpital Wolski im. Anny Gostyńskiej Spółka z o.o.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</si>
  <si>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</si>
  <si>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</si>
  <si>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</si>
  <si>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  <scheme val="minor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</si>
  <si>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</si>
  <si>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</si>
  <si>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</si>
  <si>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</si>
  <si>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W sprawozdaniu finansowym Urzędu m.st. Warszawy za 2022 r. ujęto korekty lat ubiegłych dotyczące zmniejszenia wartości środków trwałych o kwotę 24 196 648,51 zł.</t>
  </si>
  <si>
    <t>II.3.3. Informacje o znaczących zdarzeniach jakie nastąpiły po dniu bilansowym a nieuwzględnionych w sprawozdaniu finansowym</t>
  </si>
  <si>
    <t>Po dniu bilansowym do dnia sporządzenia sprawozdania finansowego za rok obrotowy nie wystąpiły znaczące zdarzenia, które powinny być ujęte w sprawozdaniu finansowym roku obrotowego.</t>
  </si>
  <si>
    <t>......................................</t>
  </si>
  <si>
    <t>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</si>
</sst>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yyyy\-mm\-dd;@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b/>
      <u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2" fillId="0" borderId="0"/>
  </cellStyleXfs>
  <cellXfs count="865">
    <xf numFmtId="0" fontId="0" fillId="0" borderId="0" xfId="0"/>
    <xf numFmtId="0" fontId="0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wrapText="1"/>
    </xf>
    <xf numFmtId="0" fontId="4" fillId="0" borderId="0" xfId="0" applyFont="1"/>
    <xf numFmtId="0" fontId="0" fillId="0" borderId="0" xfId="0" applyFont="1"/>
    <xf numFmtId="0" fontId="0" fillId="2" borderId="5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wrapText="1"/>
    </xf>
    <xf numFmtId="0" fontId="0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wrapText="1"/>
    </xf>
    <xf numFmtId="4" fontId="4" fillId="0" borderId="0" xfId="0" applyNumberFormat="1" applyFont="1"/>
    <xf numFmtId="4" fontId="0" fillId="0" borderId="0" xfId="0" applyNumberFormat="1" applyFont="1"/>
    <xf numFmtId="0" fontId="3" fillId="2" borderId="14" xfId="0" applyFont="1" applyFill="1" applyBorder="1" applyAlignment="1">
      <alignment wrapText="1"/>
    </xf>
    <xf numFmtId="4" fontId="3" fillId="2" borderId="14" xfId="0" applyNumberFormat="1" applyFont="1" applyFill="1" applyBorder="1" applyAlignment="1">
      <alignment horizontal="right"/>
    </xf>
    <xf numFmtId="0" fontId="0" fillId="2" borderId="14" xfId="0" applyFont="1" applyFill="1" applyBorder="1" applyAlignment="1">
      <alignment wrapText="1"/>
    </xf>
    <xf numFmtId="4" fontId="0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wrapText="1"/>
    </xf>
    <xf numFmtId="4" fontId="3" fillId="2" borderId="14" xfId="0" applyNumberFormat="1" applyFont="1" applyFill="1" applyBorder="1"/>
    <xf numFmtId="4" fontId="0" fillId="0" borderId="14" xfId="0" applyNumberFormat="1" applyFont="1" applyFill="1" applyBorder="1" applyAlignment="1">
      <alignment horizontal="right"/>
    </xf>
    <xf numFmtId="4" fontId="0" fillId="2" borderId="14" xfId="0" applyNumberFormat="1" applyFont="1" applyFill="1" applyBorder="1" applyAlignment="1">
      <alignment horizontal="right" wrapText="1"/>
    </xf>
    <xf numFmtId="4" fontId="0" fillId="2" borderId="14" xfId="0" applyNumberFormat="1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4" fontId="3" fillId="2" borderId="15" xfId="0" applyNumberFormat="1" applyFont="1" applyFill="1" applyBorder="1" applyAlignment="1">
      <alignment horizontal="right"/>
    </xf>
    <xf numFmtId="0" fontId="0" fillId="2" borderId="15" xfId="0" applyFont="1" applyFill="1" applyBorder="1" applyAlignment="1">
      <alignment wrapText="1"/>
    </xf>
    <xf numFmtId="4" fontId="0" fillId="2" borderId="15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4" fontId="3" fillId="2" borderId="12" xfId="0" applyNumberFormat="1" applyFont="1" applyFill="1" applyBorder="1" applyAlignment="1">
      <alignment horizontal="right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5" fillId="0" borderId="0" xfId="0" applyFont="1"/>
    <xf numFmtId="0" fontId="0" fillId="0" borderId="0" xfId="0" applyFont="1" applyBorder="1" applyAlignment="1">
      <alignment wrapText="1"/>
    </xf>
    <xf numFmtId="16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/>
    <xf numFmtId="14" fontId="0" fillId="0" borderId="0" xfId="0" applyNumberFormat="1" applyFont="1" applyFill="1"/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0" fillId="0" borderId="0" xfId="0" applyFont="1" applyBorder="1"/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4" fontId="3" fillId="2" borderId="2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2" borderId="25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8" xfId="0" applyFont="1" applyFill="1" applyBorder="1" applyAlignment="1">
      <alignment wrapText="1"/>
    </xf>
    <xf numFmtId="4" fontId="0" fillId="2" borderId="15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4" fontId="0" fillId="3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4" fontId="5" fillId="0" borderId="0" xfId="0" applyNumberFormat="1" applyFont="1"/>
    <xf numFmtId="0" fontId="0" fillId="2" borderId="27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4" fontId="0" fillId="2" borderId="0" xfId="0" applyNumberFormat="1" applyFont="1" applyFill="1" applyBorder="1" applyAlignment="1">
      <alignment wrapText="1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 vertical="top"/>
    </xf>
    <xf numFmtId="4" fontId="8" fillId="0" borderId="0" xfId="2" applyNumberFormat="1" applyFont="1" applyAlignment="1">
      <alignment horizontal="left" vertical="top" wrapText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horizontal="left" wrapText="1"/>
    </xf>
    <xf numFmtId="4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11" xfId="0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0" xfId="0" applyFont="1" applyFill="1" applyBorder="1" applyAlignment="1">
      <alignment horizontal="center" wrapText="1"/>
    </xf>
    <xf numFmtId="0" fontId="13" fillId="4" borderId="30" xfId="3" applyFont="1" applyFill="1" applyBorder="1" applyAlignment="1">
      <alignment wrapText="1"/>
    </xf>
    <xf numFmtId="0" fontId="10" fillId="4" borderId="31" xfId="0" applyFont="1" applyFill="1" applyBorder="1" applyAlignment="1">
      <alignment horizontal="center" wrapText="1"/>
    </xf>
    <xf numFmtId="0" fontId="10" fillId="4" borderId="32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0" fillId="4" borderId="33" xfId="0" applyFont="1" applyFill="1" applyBorder="1" applyAlignment="1">
      <alignment horizontal="center" wrapText="1"/>
    </xf>
    <xf numFmtId="0" fontId="10" fillId="4" borderId="34" xfId="0" applyFont="1" applyFill="1" applyBorder="1" applyAlignment="1">
      <alignment horizontal="center" wrapText="1"/>
    </xf>
    <xf numFmtId="0" fontId="13" fillId="4" borderId="34" xfId="3" applyFont="1" applyFill="1" applyBorder="1" applyAlignment="1">
      <alignment wrapText="1"/>
    </xf>
    <xf numFmtId="0" fontId="10" fillId="4" borderId="35" xfId="0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center" wrapText="1"/>
    </xf>
    <xf numFmtId="0" fontId="10" fillId="4" borderId="37" xfId="0" applyFont="1" applyFill="1" applyBorder="1" applyAlignment="1">
      <alignment horizontal="center" wrapText="1"/>
    </xf>
    <xf numFmtId="0" fontId="14" fillId="0" borderId="25" xfId="0" applyFont="1" applyFill="1" applyBorder="1"/>
    <xf numFmtId="0" fontId="14" fillId="0" borderId="38" xfId="0" applyFont="1" applyFill="1" applyBorder="1"/>
    <xf numFmtId="0" fontId="14" fillId="0" borderId="39" xfId="0" applyFont="1" applyFill="1" applyBorder="1"/>
    <xf numFmtId="0" fontId="14" fillId="0" borderId="26" xfId="0" applyFont="1" applyFill="1" applyBorder="1"/>
    <xf numFmtId="0" fontId="11" fillId="0" borderId="0" xfId="0" applyFont="1" applyAlignment="1">
      <alignment vertical="center"/>
    </xf>
    <xf numFmtId="0" fontId="10" fillId="0" borderId="40" xfId="0" applyFont="1" applyFill="1" applyBorder="1"/>
    <xf numFmtId="4" fontId="10" fillId="0" borderId="41" xfId="0" applyNumberFormat="1" applyFont="1" applyFill="1" applyBorder="1" applyAlignment="1">
      <alignment horizontal="right"/>
    </xf>
    <xf numFmtId="4" fontId="10" fillId="0" borderId="42" xfId="0" applyNumberFormat="1" applyFont="1" applyFill="1" applyBorder="1" applyAlignment="1">
      <alignment horizontal="right"/>
    </xf>
    <xf numFmtId="0" fontId="15" fillId="0" borderId="40" xfId="0" applyFont="1" applyFill="1" applyBorder="1"/>
    <xf numFmtId="4" fontId="15" fillId="0" borderId="41" xfId="0" applyNumberFormat="1" applyFont="1" applyFill="1" applyBorder="1" applyAlignment="1">
      <alignment horizontal="right"/>
    </xf>
    <xf numFmtId="4" fontId="15" fillId="0" borderId="42" xfId="0" applyNumberFormat="1" applyFont="1" applyFill="1" applyBorder="1" applyAlignment="1">
      <alignment horizontal="right"/>
    </xf>
    <xf numFmtId="4" fontId="10" fillId="0" borderId="34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0" fontId="10" fillId="4" borderId="40" xfId="0" applyFont="1" applyFill="1" applyBorder="1"/>
    <xf numFmtId="4" fontId="10" fillId="4" borderId="41" xfId="0" applyNumberFormat="1" applyFont="1" applyFill="1" applyBorder="1" applyAlignment="1">
      <alignment horizontal="right"/>
    </xf>
    <xf numFmtId="4" fontId="10" fillId="4" borderId="42" xfId="0" applyNumberFormat="1" applyFont="1" applyFill="1" applyBorder="1" applyAlignment="1">
      <alignment horizontal="right"/>
    </xf>
    <xf numFmtId="0" fontId="10" fillId="4" borderId="43" xfId="0" applyFont="1" applyFill="1" applyBorder="1"/>
    <xf numFmtId="4" fontId="10" fillId="4" borderId="44" xfId="0" applyNumberFormat="1" applyFont="1" applyFill="1" applyBorder="1" applyAlignment="1">
      <alignment horizontal="right"/>
    </xf>
    <xf numFmtId="4" fontId="10" fillId="4" borderId="45" xfId="0" applyNumberFormat="1" applyFont="1" applyFill="1" applyBorder="1" applyAlignment="1">
      <alignment horizontal="right"/>
    </xf>
    <xf numFmtId="0" fontId="11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4" fillId="2" borderId="25" xfId="0" applyFont="1" applyFill="1" applyBorder="1" applyAlignment="1"/>
    <xf numFmtId="0" fontId="14" fillId="2" borderId="39" xfId="0" applyFont="1" applyFill="1" applyBorder="1" applyAlignment="1"/>
    <xf numFmtId="0" fontId="11" fillId="0" borderId="26" xfId="0" applyFont="1" applyBorder="1" applyAlignment="1"/>
    <xf numFmtId="0" fontId="10" fillId="0" borderId="25" xfId="0" applyFont="1" applyFill="1" applyBorder="1"/>
    <xf numFmtId="0" fontId="10" fillId="0" borderId="47" xfId="0" applyFont="1" applyFill="1" applyBorder="1"/>
    <xf numFmtId="0" fontId="10" fillId="2" borderId="25" xfId="0" applyFont="1" applyFill="1" applyBorder="1"/>
    <xf numFmtId="0" fontId="10" fillId="2" borderId="47" xfId="0" applyFont="1" applyFill="1" applyBorder="1"/>
    <xf numFmtId="4" fontId="10" fillId="2" borderId="26" xfId="0" applyNumberFormat="1" applyFont="1" applyFill="1" applyBorder="1" applyAlignment="1">
      <alignment horizontal="right"/>
    </xf>
    <xf numFmtId="0" fontId="15" fillId="0" borderId="25" xfId="0" applyFont="1" applyBorder="1"/>
    <xf numFmtId="0" fontId="15" fillId="0" borderId="47" xfId="0" applyFont="1" applyBorder="1"/>
    <xf numFmtId="4" fontId="15" fillId="0" borderId="26" xfId="0" applyNumberFormat="1" applyFont="1" applyBorder="1" applyAlignment="1">
      <alignment horizontal="right"/>
    </xf>
    <xf numFmtId="0" fontId="15" fillId="0" borderId="48" xfId="0" applyFont="1" applyBorder="1"/>
    <xf numFmtId="0" fontId="15" fillId="0" borderId="49" xfId="0" applyFont="1" applyBorder="1"/>
    <xf numFmtId="0" fontId="10" fillId="2" borderId="50" xfId="0" applyFont="1" applyFill="1" applyBorder="1"/>
    <xf numFmtId="0" fontId="10" fillId="2" borderId="51" xfId="0" applyFont="1" applyFill="1" applyBorder="1"/>
    <xf numFmtId="4" fontId="10" fillId="2" borderId="46" xfId="0" applyNumberFormat="1" applyFont="1" applyFill="1" applyBorder="1" applyAlignment="1">
      <alignment horizontal="right"/>
    </xf>
    <xf numFmtId="4" fontId="16" fillId="0" borderId="25" xfId="0" applyNumberFormat="1" applyFont="1" applyFill="1" applyBorder="1" applyAlignment="1">
      <alignment vertical="center"/>
    </xf>
    <xf numFmtId="4" fontId="16" fillId="0" borderId="39" xfId="0" applyNumberFormat="1" applyFont="1" applyFill="1" applyBorder="1" applyAlignment="1">
      <alignment vertical="center"/>
    </xf>
    <xf numFmtId="0" fontId="15" fillId="0" borderId="25" xfId="0" applyFont="1" applyFill="1" applyBorder="1"/>
    <xf numFmtId="0" fontId="15" fillId="0" borderId="47" xfId="0" applyFont="1" applyFill="1" applyBorder="1"/>
    <xf numFmtId="0" fontId="10" fillId="4" borderId="25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4" fontId="10" fillId="5" borderId="26" xfId="0" applyNumberFormat="1" applyFont="1" applyFill="1" applyBorder="1" applyAlignment="1">
      <alignment horizontal="righ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4" fontId="10" fillId="5" borderId="54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3" applyFont="1" applyFill="1" applyAlignment="1" applyProtection="1">
      <alignment vertical="center" wrapText="1"/>
    </xf>
    <xf numFmtId="0" fontId="6" fillId="0" borderId="0" xfId="3" applyFont="1" applyFill="1" applyAlignment="1" applyProtection="1">
      <alignment vertical="center"/>
    </xf>
    <xf numFmtId="0" fontId="17" fillId="4" borderId="12" xfId="3" applyFont="1" applyFill="1" applyBorder="1" applyAlignment="1" applyProtection="1">
      <alignment horizontal="center" vertical="center" wrapText="1"/>
    </xf>
    <xf numFmtId="4" fontId="17" fillId="4" borderId="12" xfId="3" applyNumberFormat="1" applyFont="1" applyFill="1" applyBorder="1" applyAlignment="1" applyProtection="1">
      <alignment horizontal="center" vertical="center" wrapText="1"/>
    </xf>
    <xf numFmtId="0" fontId="17" fillId="4" borderId="21" xfId="3" applyFont="1" applyFill="1" applyBorder="1" applyAlignment="1" applyProtection="1">
      <alignment horizontal="center" vertical="center" wrapText="1"/>
    </xf>
    <xf numFmtId="0" fontId="17" fillId="0" borderId="55" xfId="3" applyFont="1" applyFill="1" applyBorder="1" applyAlignment="1" applyProtection="1">
      <alignment horizontal="center" vertical="center"/>
    </xf>
    <xf numFmtId="4" fontId="17" fillId="0" borderId="56" xfId="3" applyNumberFormat="1" applyFont="1" applyFill="1" applyBorder="1" applyAlignment="1" applyProtection="1">
      <alignment horizontal="center" vertical="center" wrapText="1"/>
    </xf>
    <xf numFmtId="0" fontId="17" fillId="0" borderId="57" xfId="3" applyFont="1" applyFill="1" applyBorder="1" applyAlignment="1" applyProtection="1">
      <alignment horizontal="center" vertical="center" wrapText="1"/>
    </xf>
    <xf numFmtId="0" fontId="17" fillId="4" borderId="58" xfId="3" applyFont="1" applyFill="1" applyBorder="1" applyAlignment="1" applyProtection="1">
      <alignment vertical="center" wrapText="1"/>
    </xf>
    <xf numFmtId="4" fontId="17" fillId="4" borderId="58" xfId="3" applyNumberFormat="1" applyFont="1" applyFill="1" applyBorder="1" applyAlignment="1" applyProtection="1">
      <alignment vertical="center"/>
    </xf>
    <xf numFmtId="4" fontId="17" fillId="4" borderId="59" xfId="3" applyNumberFormat="1" applyFont="1" applyFill="1" applyBorder="1" applyAlignment="1" applyProtection="1">
      <alignment vertical="center"/>
    </xf>
    <xf numFmtId="0" fontId="17" fillId="0" borderId="60" xfId="3" applyFont="1" applyFill="1" applyBorder="1" applyAlignment="1" applyProtection="1">
      <alignment vertical="center" wrapText="1"/>
    </xf>
    <xf numFmtId="4" fontId="17" fillId="0" borderId="60" xfId="3" applyNumberFormat="1" applyFont="1" applyFill="1" applyBorder="1" applyAlignment="1" applyProtection="1">
      <alignment vertical="center"/>
    </xf>
    <xf numFmtId="4" fontId="17" fillId="0" borderId="61" xfId="3" applyNumberFormat="1" applyFont="1" applyFill="1" applyBorder="1" applyAlignment="1" applyProtection="1">
      <alignment vertical="center"/>
    </xf>
    <xf numFmtId="0" fontId="18" fillId="0" borderId="62" xfId="3" applyFont="1" applyFill="1" applyBorder="1" applyAlignment="1" applyProtection="1">
      <alignment vertical="center" wrapText="1"/>
    </xf>
    <xf numFmtId="4" fontId="18" fillId="0" borderId="62" xfId="3" applyNumberFormat="1" applyFont="1" applyFill="1" applyBorder="1" applyAlignment="1" applyProtection="1">
      <alignment vertical="center"/>
      <protection locked="0"/>
    </xf>
    <xf numFmtId="4" fontId="18" fillId="0" borderId="63" xfId="3" applyNumberFormat="1" applyFont="1" applyFill="1" applyBorder="1" applyAlignment="1" applyProtection="1">
      <alignment vertical="center"/>
    </xf>
    <xf numFmtId="0" fontId="18" fillId="0" borderId="62" xfId="3" quotePrefix="1" applyFont="1" applyFill="1" applyBorder="1" applyAlignment="1" applyProtection="1">
      <alignment vertical="center" wrapText="1"/>
      <protection locked="0"/>
    </xf>
    <xf numFmtId="0" fontId="17" fillId="4" borderId="64" xfId="3" applyFont="1" applyFill="1" applyBorder="1" applyAlignment="1" applyProtection="1">
      <alignment vertical="center" wrapText="1"/>
    </xf>
    <xf numFmtId="4" fontId="17" fillId="4" borderId="64" xfId="3" applyNumberFormat="1" applyFont="1" applyFill="1" applyBorder="1" applyAlignment="1" applyProtection="1">
      <alignment vertical="center"/>
    </xf>
    <xf numFmtId="4" fontId="17" fillId="4" borderId="65" xfId="3" applyNumberFormat="1" applyFont="1" applyFill="1" applyBorder="1" applyAlignment="1" applyProtection="1">
      <alignment vertical="center"/>
    </xf>
    <xf numFmtId="0" fontId="17" fillId="0" borderId="55" xfId="3" applyFont="1" applyFill="1" applyBorder="1" applyAlignment="1" applyProtection="1">
      <alignment horizontal="centerContinuous" vertical="center"/>
    </xf>
    <xf numFmtId="0" fontId="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vertical="center"/>
    </xf>
    <xf numFmtId="4" fontId="6" fillId="0" borderId="60" xfId="3" applyNumberFormat="1" applyFont="1" applyFill="1" applyBorder="1" applyAlignment="1" applyProtection="1">
      <alignment vertical="center"/>
    </xf>
    <xf numFmtId="4" fontId="6" fillId="0" borderId="61" xfId="3" applyNumberFormat="1" applyFont="1" applyFill="1" applyBorder="1" applyAlignment="1" applyProtection="1">
      <alignment vertical="center"/>
    </xf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4" fontId="17" fillId="4" borderId="60" xfId="3" applyNumberFormat="1" applyFont="1" applyFill="1" applyBorder="1" applyAlignment="1" applyProtection="1">
      <alignment vertical="center"/>
    </xf>
    <xf numFmtId="4" fontId="17" fillId="4" borderId="61" xfId="3" applyNumberFormat="1" applyFont="1" applyFill="1" applyBorder="1" applyAlignment="1" applyProtection="1">
      <alignment vertical="center"/>
    </xf>
    <xf numFmtId="4" fontId="17" fillId="4" borderId="8" xfId="3" applyNumberFormat="1" applyFont="1" applyFill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14" fontId="10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0" fillId="5" borderId="55" xfId="0" applyFont="1" applyFill="1" applyBorder="1" applyAlignment="1">
      <alignment horizontal="center" wrapText="1"/>
    </xf>
    <xf numFmtId="0" fontId="10" fillId="5" borderId="56" xfId="0" applyFont="1" applyFill="1" applyBorder="1" applyAlignment="1">
      <alignment horizontal="center" wrapText="1"/>
    </xf>
    <xf numFmtId="0" fontId="10" fillId="5" borderId="57" xfId="0" applyFont="1" applyFill="1" applyBorder="1" applyAlignment="1">
      <alignment horizontal="center" wrapText="1"/>
    </xf>
    <xf numFmtId="0" fontId="11" fillId="0" borderId="58" xfId="0" applyFont="1" applyBorder="1" applyAlignment="1">
      <alignment horizontal="center" wrapText="1"/>
    </xf>
    <xf numFmtId="0" fontId="10" fillId="5" borderId="66" xfId="0" applyFont="1" applyFill="1" applyBorder="1" applyAlignment="1">
      <alignment horizontal="center" wrapText="1"/>
    </xf>
    <xf numFmtId="0" fontId="10" fillId="5" borderId="34" xfId="0" applyFont="1" applyFill="1" applyBorder="1" applyAlignment="1">
      <alignment horizontal="center" wrapText="1"/>
    </xf>
    <xf numFmtId="0" fontId="10" fillId="5" borderId="61" xfId="0" applyFont="1" applyFill="1" applyBorder="1" applyAlignment="1">
      <alignment horizontal="center" wrapText="1"/>
    </xf>
    <xf numFmtId="0" fontId="10" fillId="5" borderId="67" xfId="0" applyFont="1" applyFill="1" applyBorder="1" applyAlignment="1">
      <alignment horizontal="center" wrapText="1"/>
    </xf>
    <xf numFmtId="0" fontId="10" fillId="5" borderId="68" xfId="0" applyFont="1" applyFill="1" applyBorder="1" applyAlignment="1">
      <alignment horizontal="center" wrapText="1"/>
    </xf>
    <xf numFmtId="0" fontId="10" fillId="5" borderId="59" xfId="0" applyFont="1" applyFill="1" applyBorder="1" applyAlignment="1">
      <alignment horizontal="center" wrapText="1"/>
    </xf>
    <xf numFmtId="0" fontId="10" fillId="0" borderId="60" xfId="0" applyFont="1" applyBorder="1" applyAlignment="1">
      <alignment wrapText="1"/>
    </xf>
    <xf numFmtId="4" fontId="10" fillId="0" borderId="66" xfId="0" applyNumberFormat="1" applyFont="1" applyBorder="1" applyAlignment="1">
      <alignment horizontal="right"/>
    </xf>
    <xf numFmtId="4" fontId="10" fillId="0" borderId="69" xfId="0" applyNumberFormat="1" applyFont="1" applyBorder="1" applyAlignment="1">
      <alignment horizontal="right"/>
    </xf>
    <xf numFmtId="4" fontId="10" fillId="0" borderId="70" xfId="0" applyNumberFormat="1" applyFont="1" applyBorder="1" applyAlignment="1">
      <alignment horizontal="right"/>
    </xf>
    <xf numFmtId="0" fontId="20" fillId="0" borderId="60" xfId="0" applyFont="1" applyFill="1" applyBorder="1" applyAlignment="1">
      <alignment vertical="center" wrapText="1"/>
    </xf>
    <xf numFmtId="4" fontId="15" fillId="0" borderId="71" xfId="0" applyNumberFormat="1" applyFont="1" applyBorder="1" applyAlignment="1">
      <alignment horizontal="right"/>
    </xf>
    <xf numFmtId="4" fontId="15" fillId="0" borderId="72" xfId="0" applyNumberFormat="1" applyFont="1" applyBorder="1" applyAlignment="1">
      <alignment horizontal="right"/>
    </xf>
    <xf numFmtId="4" fontId="15" fillId="0" borderId="73" xfId="0" applyNumberFormat="1" applyFont="1" applyBorder="1" applyAlignment="1">
      <alignment horizontal="right"/>
    </xf>
    <xf numFmtId="4" fontId="15" fillId="0" borderId="51" xfId="0" applyNumberFormat="1" applyFont="1" applyBorder="1" applyAlignment="1">
      <alignment horizontal="right"/>
    </xf>
    <xf numFmtId="0" fontId="10" fillId="4" borderId="8" xfId="0" applyFont="1" applyFill="1" applyBorder="1" applyAlignment="1">
      <alignment wrapText="1"/>
    </xf>
    <xf numFmtId="4" fontId="10" fillId="4" borderId="74" xfId="0" applyNumberFormat="1" applyFont="1" applyFill="1" applyBorder="1" applyAlignment="1">
      <alignment horizontal="right"/>
    </xf>
    <xf numFmtId="4" fontId="10" fillId="4" borderId="75" xfId="0" applyNumberFormat="1" applyFont="1" applyFill="1" applyBorder="1" applyAlignment="1">
      <alignment horizontal="right"/>
    </xf>
    <xf numFmtId="4" fontId="10" fillId="4" borderId="76" xfId="0" applyNumberFormat="1" applyFont="1" applyFill="1" applyBorder="1" applyAlignment="1">
      <alignment horizontal="right"/>
    </xf>
    <xf numFmtId="4" fontId="10" fillId="4" borderId="11" xfId="0" applyNumberFormat="1" applyFont="1" applyFill="1" applyBorder="1" applyAlignment="1">
      <alignment horizontal="right"/>
    </xf>
    <xf numFmtId="4" fontId="10" fillId="4" borderId="77" xfId="0" applyNumberFormat="1" applyFont="1" applyFill="1" applyBorder="1" applyAlignment="1">
      <alignment horizontal="right"/>
    </xf>
    <xf numFmtId="4" fontId="10" fillId="4" borderId="78" xfId="0" applyNumberFormat="1" applyFont="1" applyFill="1" applyBorder="1" applyAlignment="1">
      <alignment horizontal="right"/>
    </xf>
    <xf numFmtId="4" fontId="10" fillId="4" borderId="65" xfId="0" applyNumberFormat="1" applyFont="1" applyFill="1" applyBorder="1" applyAlignment="1">
      <alignment horizontal="right"/>
    </xf>
    <xf numFmtId="0" fontId="11" fillId="5" borderId="79" xfId="0" applyFont="1" applyFill="1" applyBorder="1" applyAlignment="1">
      <alignment horizontal="center" wrapText="1"/>
    </xf>
    <xf numFmtId="0" fontId="10" fillId="5" borderId="80" xfId="0" applyFont="1" applyFill="1" applyBorder="1" applyAlignment="1">
      <alignment horizontal="center" wrapText="1"/>
    </xf>
    <xf numFmtId="0" fontId="10" fillId="5" borderId="81" xfId="0" applyFont="1" applyFill="1" applyBorder="1" applyAlignment="1">
      <alignment horizontal="center" wrapText="1"/>
    </xf>
    <xf numFmtId="0" fontId="11" fillId="0" borderId="82" xfId="0" applyFont="1" applyBorder="1" applyAlignment="1">
      <alignment wrapText="1"/>
    </xf>
    <xf numFmtId="4" fontId="11" fillId="0" borderId="78" xfId="0" applyNumberFormat="1" applyFont="1" applyBorder="1" applyAlignment="1">
      <alignment horizontal="right"/>
    </xf>
    <xf numFmtId="4" fontId="11" fillId="0" borderId="83" xfId="0" applyNumberFormat="1" applyFont="1" applyBorder="1" applyAlignment="1">
      <alignment horizontal="right"/>
    </xf>
    <xf numFmtId="0" fontId="10" fillId="5" borderId="22" xfId="0" applyFont="1" applyFill="1" applyBorder="1" applyAlignment="1">
      <alignment wrapText="1"/>
    </xf>
    <xf numFmtId="0" fontId="10" fillId="5" borderId="84" xfId="0" applyFont="1" applyFill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0" borderId="85" xfId="0" applyFont="1" applyBorder="1" applyAlignment="1">
      <alignment wrapText="1"/>
    </xf>
    <xf numFmtId="4" fontId="11" fillId="0" borderId="41" xfId="0" applyNumberFormat="1" applyFont="1" applyBorder="1" applyAlignment="1">
      <alignment horizontal="right"/>
    </xf>
    <xf numFmtId="4" fontId="11" fillId="0" borderId="42" xfId="0" applyNumberFormat="1" applyFont="1" applyBorder="1" applyAlignment="1">
      <alignment horizontal="right"/>
    </xf>
    <xf numFmtId="0" fontId="11" fillId="0" borderId="27" xfId="0" applyFont="1" applyBorder="1" applyAlignment="1">
      <alignment wrapText="1"/>
    </xf>
    <xf numFmtId="0" fontId="11" fillId="0" borderId="86" xfId="0" applyFont="1" applyBorder="1" applyAlignment="1">
      <alignment wrapText="1"/>
    </xf>
    <xf numFmtId="4" fontId="11" fillId="0" borderId="87" xfId="0" applyNumberFormat="1" applyFont="1" applyBorder="1" applyAlignment="1">
      <alignment horizontal="right"/>
    </xf>
    <xf numFmtId="4" fontId="11" fillId="0" borderId="88" xfId="0" applyNumberFormat="1" applyFont="1" applyBorder="1" applyAlignment="1">
      <alignment horizontal="right"/>
    </xf>
    <xf numFmtId="0" fontId="15" fillId="0" borderId="33" xfId="0" applyFont="1" applyFill="1" applyBorder="1" applyAlignment="1">
      <alignment horizontal="left" wrapText="1" indent="1"/>
    </xf>
    <xf numFmtId="0" fontId="15" fillId="0" borderId="35" xfId="0" applyFont="1" applyFill="1" applyBorder="1" applyAlignment="1">
      <alignment horizontal="left" wrapText="1" indent="1"/>
    </xf>
    <xf numFmtId="4" fontId="11" fillId="0" borderId="36" xfId="0" applyNumberFormat="1" applyFont="1" applyFill="1" applyBorder="1" applyAlignment="1">
      <alignment horizontal="right"/>
    </xf>
    <xf numFmtId="4" fontId="11" fillId="0" borderId="89" xfId="0" applyNumberFormat="1" applyFont="1" applyFill="1" applyBorder="1" applyAlignment="1">
      <alignment horizontal="right"/>
    </xf>
    <xf numFmtId="0" fontId="15" fillId="0" borderId="25" xfId="0" applyFont="1" applyFill="1" applyBorder="1" applyAlignment="1">
      <alignment horizontal="left" wrapText="1" indent="1"/>
    </xf>
    <xf numFmtId="0" fontId="15" fillId="0" borderId="85" xfId="0" applyFont="1" applyFill="1" applyBorder="1" applyAlignment="1">
      <alignment horizontal="left" wrapText="1" indent="1"/>
    </xf>
    <xf numFmtId="0" fontId="15" fillId="0" borderId="52" xfId="0" applyFont="1" applyFill="1" applyBorder="1" applyAlignment="1">
      <alignment horizontal="left" wrapText="1" indent="1"/>
    </xf>
    <xf numFmtId="0" fontId="15" fillId="0" borderId="90" xfId="0" applyFont="1" applyFill="1" applyBorder="1" applyAlignment="1">
      <alignment horizontal="left" wrapText="1" indent="1"/>
    </xf>
    <xf numFmtId="4" fontId="11" fillId="0" borderId="91" xfId="0" applyNumberFormat="1" applyFont="1" applyFill="1" applyBorder="1" applyAlignment="1">
      <alignment horizontal="right"/>
    </xf>
    <xf numFmtId="4" fontId="11" fillId="0" borderId="92" xfId="0" applyNumberFormat="1" applyFont="1" applyFill="1" applyBorder="1" applyAlignment="1">
      <alignment horizontal="right"/>
    </xf>
    <xf numFmtId="4" fontId="8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17" fillId="6" borderId="20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" fontId="8" fillId="6" borderId="12" xfId="0" applyNumberFormat="1" applyFont="1" applyFill="1" applyBorder="1" applyAlignment="1">
      <alignment horizontal="center" vertical="center" wrapText="1"/>
    </xf>
    <xf numFmtId="4" fontId="8" fillId="6" borderId="29" xfId="0" applyNumberFormat="1" applyFont="1" applyFill="1" applyBorder="1" applyAlignment="1">
      <alignment horizontal="center" vertical="center" wrapText="1"/>
    </xf>
    <xf numFmtId="4" fontId="17" fillId="4" borderId="29" xfId="0" applyNumberFormat="1" applyFont="1" applyFill="1" applyBorder="1" applyAlignment="1">
      <alignment horizontal="center" vertical="center" wrapText="1"/>
    </xf>
    <xf numFmtId="4" fontId="8" fillId="6" borderId="21" xfId="0" applyNumberFormat="1" applyFont="1" applyFill="1" applyBorder="1" applyAlignment="1">
      <alignment horizontal="center" vertical="center" wrapText="1"/>
    </xf>
    <xf numFmtId="4" fontId="17" fillId="7" borderId="55" xfId="0" applyNumberFormat="1" applyFont="1" applyFill="1" applyBorder="1" applyAlignment="1">
      <alignment horizontal="left" vertical="center" wrapText="1"/>
    </xf>
    <xf numFmtId="0" fontId="11" fillId="7" borderId="56" xfId="0" applyFont="1" applyFill="1" applyBorder="1" applyAlignment="1">
      <alignment vertical="center"/>
    </xf>
    <xf numFmtId="4" fontId="8" fillId="7" borderId="56" xfId="0" applyNumberFormat="1" applyFont="1" applyFill="1" applyBorder="1" applyAlignment="1">
      <alignment vertical="center"/>
    </xf>
    <xf numFmtId="4" fontId="8" fillId="7" borderId="57" xfId="0" applyNumberFormat="1" applyFont="1" applyFill="1" applyBorder="1" applyAlignment="1">
      <alignment vertical="center"/>
    </xf>
    <xf numFmtId="0" fontId="11" fillId="0" borderId="50" xfId="0" applyFont="1" applyFill="1" applyBorder="1" applyAlignment="1">
      <alignment wrapText="1"/>
    </xf>
    <xf numFmtId="0" fontId="11" fillId="0" borderId="93" xfId="0" applyFont="1" applyFill="1" applyBorder="1" applyAlignment="1">
      <alignment wrapText="1"/>
    </xf>
    <xf numFmtId="3" fontId="9" fillId="0" borderId="60" xfId="0" applyNumberFormat="1" applyFont="1" applyFill="1" applyBorder="1" applyAlignment="1">
      <alignment vertical="center"/>
    </xf>
    <xf numFmtId="4" fontId="9" fillId="0" borderId="60" xfId="0" applyNumberFormat="1" applyFont="1" applyFill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25" xfId="0" applyFont="1" applyFill="1" applyBorder="1" applyAlignment="1">
      <alignment wrapText="1"/>
    </xf>
    <xf numFmtId="0" fontId="11" fillId="0" borderId="26" xfId="0" applyFont="1" applyFill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94" xfId="0" applyFont="1" applyBorder="1" applyAlignment="1">
      <alignment wrapText="1"/>
    </xf>
    <xf numFmtId="4" fontId="8" fillId="6" borderId="20" xfId="0" applyNumberFormat="1" applyFont="1" applyFill="1" applyBorder="1" applyAlignment="1">
      <alignment horizontal="left" vertical="center"/>
    </xf>
    <xf numFmtId="4" fontId="8" fillId="6" borderId="21" xfId="0" applyNumberFormat="1" applyFont="1" applyFill="1" applyBorder="1" applyAlignment="1">
      <alignment horizontal="left" vertical="center"/>
    </xf>
    <xf numFmtId="4" fontId="8" fillId="6" borderId="12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left" vertical="center" wrapText="1"/>
    </xf>
    <xf numFmtId="4" fontId="17" fillId="6" borderId="21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vertical="center"/>
    </xf>
    <xf numFmtId="0" fontId="11" fillId="0" borderId="50" xfId="0" applyFont="1" applyBorder="1" applyAlignment="1">
      <alignment wrapText="1"/>
    </xf>
    <xf numFmtId="0" fontId="11" fillId="0" borderId="93" xfId="0" applyFont="1" applyBorder="1" applyAlignment="1">
      <alignment wrapText="1"/>
    </xf>
    <xf numFmtId="3" fontId="9" fillId="0" borderId="58" xfId="0" applyNumberFormat="1" applyFont="1" applyFill="1" applyBorder="1" applyAlignment="1">
      <alignment vertical="center"/>
    </xf>
    <xf numFmtId="4" fontId="9" fillId="0" borderId="58" xfId="0" applyNumberFormat="1" applyFont="1" applyFill="1" applyBorder="1" applyAlignment="1">
      <alignment vertical="center"/>
    </xf>
    <xf numFmtId="0" fontId="11" fillId="0" borderId="26" xfId="0" applyFont="1" applyBorder="1" applyAlignment="1">
      <alignment wrapText="1"/>
    </xf>
    <xf numFmtId="4" fontId="8" fillId="6" borderId="29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" fontId="17" fillId="4" borderId="2" xfId="0" applyNumberFormat="1" applyFont="1" applyFill="1" applyBorder="1" applyAlignment="1" applyProtection="1">
      <alignment horizontal="center" vertical="center"/>
      <protection locked="0"/>
    </xf>
    <xf numFmtId="4" fontId="17" fillId="4" borderId="3" xfId="0" applyNumberFormat="1" applyFont="1" applyFill="1" applyBorder="1" applyAlignment="1" applyProtection="1">
      <alignment horizontal="center" vertical="center"/>
      <protection locked="0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0" xfId="0" applyNumberFormat="1" applyFont="1" applyFill="1" applyBorder="1" applyAlignment="1" applyProtection="1">
      <alignment horizontal="center" vertical="center"/>
      <protection locked="0"/>
    </xf>
    <xf numFmtId="4" fontId="8" fillId="4" borderId="29" xfId="0" applyNumberFormat="1" applyFont="1" applyFill="1" applyBorder="1" applyAlignment="1" applyProtection="1">
      <alignment horizontal="center" vertical="center"/>
      <protection locked="0"/>
    </xf>
    <xf numFmtId="4" fontId="8" fillId="4" borderId="21" xfId="0" applyNumberFormat="1" applyFont="1" applyFill="1" applyBorder="1" applyAlignment="1" applyProtection="1">
      <alignment horizontal="center" vertical="center"/>
      <protection locked="0"/>
    </xf>
    <xf numFmtId="4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9" xfId="0" applyNumberFormat="1" applyFont="1" applyFill="1" applyBorder="1" applyAlignment="1" applyProtection="1">
      <alignment horizontal="center" vertical="center"/>
      <protection locked="0"/>
    </xf>
    <xf numFmtId="4" fontId="17" fillId="4" borderId="10" xfId="0" applyNumberFormat="1" applyFont="1" applyFill="1" applyBorder="1" applyAlignment="1" applyProtection="1">
      <alignment horizontal="center" vertical="center"/>
      <protection locked="0"/>
    </xf>
    <xf numFmtId="4" fontId="17" fillId="4" borderId="11" xfId="0" applyNumberFormat="1" applyFont="1" applyFill="1" applyBorder="1" applyAlignment="1" applyProtection="1">
      <alignment horizontal="center" vertical="center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95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96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7" xfId="0" applyNumberFormat="1" applyFont="1" applyFill="1" applyBorder="1" applyAlignment="1" applyProtection="1">
      <alignment vertical="center"/>
      <protection locked="0"/>
    </xf>
    <xf numFmtId="4" fontId="6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7" xfId="0" applyNumberFormat="1" applyFont="1" applyFill="1" applyBorder="1" applyAlignment="1" applyProtection="1">
      <alignment vertical="center"/>
      <protection locked="0"/>
    </xf>
    <xf numFmtId="4" fontId="9" fillId="0" borderId="57" xfId="0" applyNumberFormat="1" applyFont="1" applyFill="1" applyBorder="1" applyAlignment="1" applyProtection="1">
      <alignment vertical="center"/>
      <protection locked="0"/>
    </xf>
    <xf numFmtId="49" fontId="8" fillId="0" borderId="58" xfId="0" applyNumberFormat="1" applyFont="1" applyFill="1" applyBorder="1" applyAlignment="1" applyProtection="1">
      <alignment vertical="center"/>
      <protection locked="0"/>
    </xf>
    <xf numFmtId="4" fontId="6" fillId="0" borderId="9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99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4" fontId="9" fillId="0" borderId="58" xfId="0" applyNumberFormat="1" applyFont="1" applyFill="1" applyBorder="1" applyAlignment="1" applyProtection="1">
      <alignment vertical="center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9" fontId="9" fillId="0" borderId="58" xfId="0" applyNumberFormat="1" applyFont="1" applyFill="1" applyBorder="1" applyAlignment="1" applyProtection="1">
      <alignment vertical="center"/>
      <protection locked="0"/>
    </xf>
    <xf numFmtId="4" fontId="6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0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60" xfId="0" applyNumberFormat="1" applyFont="1" applyFill="1" applyBorder="1" applyAlignment="1" applyProtection="1">
      <alignment vertical="center"/>
      <protection locked="0"/>
    </xf>
    <xf numFmtId="49" fontId="9" fillId="0" borderId="60" xfId="0" applyNumberFormat="1" applyFont="1" applyFill="1" applyBorder="1" applyAlignment="1" applyProtection="1">
      <alignment vertical="center"/>
      <protection locked="0"/>
    </xf>
    <xf numFmtId="4" fontId="9" fillId="0" borderId="65" xfId="0" applyNumberFormat="1" applyFont="1" applyFill="1" applyBorder="1" applyAlignment="1" applyProtection="1">
      <alignment vertical="center"/>
      <protection locked="0"/>
    </xf>
    <xf numFmtId="44" fontId="8" fillId="4" borderId="20" xfId="1" applyFont="1" applyFill="1" applyBorder="1" applyAlignment="1" applyProtection="1">
      <alignment horizontal="left" vertical="center" wrapText="1"/>
      <protection locked="0"/>
    </xf>
    <xf numFmtId="44" fontId="8" fillId="4" borderId="29" xfId="1" applyFont="1" applyFill="1" applyBorder="1" applyAlignment="1" applyProtection="1">
      <alignment horizontal="left" vertical="center" wrapText="1"/>
      <protection locked="0"/>
    </xf>
    <xf numFmtId="44" fontId="8" fillId="4" borderId="21" xfId="1" applyFont="1" applyFill="1" applyBorder="1" applyAlignment="1" applyProtection="1">
      <alignment horizontal="left" vertical="center" wrapText="1"/>
      <protection locked="0"/>
    </xf>
    <xf numFmtId="4" fontId="8" fillId="4" borderId="12" xfId="0" applyNumberFormat="1" applyFont="1" applyFill="1" applyBorder="1" applyAlignment="1" applyProtection="1">
      <alignment vertical="center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17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102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96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6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96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55" xfId="0" applyNumberFormat="1" applyFont="1" applyFill="1" applyBorder="1" applyAlignment="1" applyProtection="1">
      <alignment vertical="center" wrapText="1"/>
      <protection locked="0"/>
    </xf>
    <xf numFmtId="4" fontId="17" fillId="0" borderId="56" xfId="0" applyNumberFormat="1" applyFont="1" applyFill="1" applyBorder="1" applyAlignment="1" applyProtection="1">
      <alignment vertical="center" wrapText="1"/>
      <protection locked="0"/>
    </xf>
    <xf numFmtId="4" fontId="17" fillId="0" borderId="103" xfId="0" applyNumberFormat="1" applyFont="1" applyFill="1" applyBorder="1" applyAlignment="1" applyProtection="1">
      <alignment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4" fontId="8" fillId="0" borderId="104" xfId="0" applyNumberFormat="1" applyFont="1" applyFill="1" applyBorder="1" applyAlignment="1" applyProtection="1">
      <alignment horizontal="right" vertical="center" wrapText="1"/>
    </xf>
    <xf numFmtId="4" fontId="17" fillId="0" borderId="98" xfId="0" applyNumberFormat="1" applyFont="1" applyFill="1" applyBorder="1" applyAlignment="1" applyProtection="1">
      <alignment vertical="center" wrapText="1"/>
      <protection locked="0"/>
    </xf>
    <xf numFmtId="4" fontId="17" fillId="0" borderId="99" xfId="0" applyNumberFormat="1" applyFont="1" applyFill="1" applyBorder="1" applyAlignment="1" applyProtection="1">
      <alignment vertical="center" wrapText="1"/>
      <protection locked="0"/>
    </xf>
    <xf numFmtId="4" fontId="17" fillId="0" borderId="66" xfId="0" applyNumberFormat="1" applyFont="1" applyFill="1" applyBorder="1" applyAlignment="1" applyProtection="1">
      <alignment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8" fillId="0" borderId="69" xfId="0" applyNumberFormat="1" applyFont="1" applyFill="1" applyBorder="1" applyAlignment="1" applyProtection="1">
      <alignment horizontal="right" vertical="center" wrapText="1"/>
    </xf>
    <xf numFmtId="4" fontId="8" fillId="0" borderId="98" xfId="0" applyNumberFormat="1" applyFont="1" applyFill="1" applyBorder="1" applyAlignment="1" applyProtection="1">
      <alignment vertical="center" wrapText="1"/>
      <protection locked="0"/>
    </xf>
    <xf numFmtId="4" fontId="8" fillId="0" borderId="99" xfId="0" applyNumberFormat="1" applyFont="1" applyFill="1" applyBorder="1" applyAlignment="1" applyProtection="1">
      <alignment vertical="center" wrapText="1"/>
      <protection locked="0"/>
    </xf>
    <xf numFmtId="4" fontId="8" fillId="0" borderId="66" xfId="0" applyNumberFormat="1" applyFont="1" applyFill="1" applyBorder="1" applyAlignment="1" applyProtection="1">
      <alignment vertical="center" wrapText="1"/>
      <protection locked="0"/>
    </xf>
    <xf numFmtId="4" fontId="9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05" xfId="0" applyNumberFormat="1" applyFont="1" applyFill="1" applyBorder="1" applyAlignment="1" applyProtection="1">
      <alignment horizontal="right" vertical="center" wrapText="1"/>
    </xf>
    <xf numFmtId="4" fontId="8" fillId="4" borderId="20" xfId="0" applyNumberFormat="1" applyFont="1" applyFill="1" applyBorder="1" applyAlignment="1" applyProtection="1">
      <alignment vertical="center" wrapText="1"/>
      <protection locked="0"/>
    </xf>
    <xf numFmtId="4" fontId="8" fillId="4" borderId="29" xfId="0" applyNumberFormat="1" applyFont="1" applyFill="1" applyBorder="1" applyAlignment="1" applyProtection="1">
      <alignment vertical="center" wrapText="1"/>
      <protection locked="0"/>
    </xf>
    <xf numFmtId="4" fontId="8" fillId="4" borderId="102" xfId="0" applyNumberFormat="1" applyFont="1" applyFill="1" applyBorder="1" applyAlignment="1" applyProtection="1">
      <alignment vertical="center" wrapText="1"/>
      <protection locked="0"/>
    </xf>
    <xf numFmtId="4" fontId="8" fillId="6" borderId="106" xfId="0" applyNumberFormat="1" applyFont="1" applyFill="1" applyBorder="1" applyAlignment="1" applyProtection="1">
      <alignment horizontal="right" vertical="center" wrapText="1"/>
    </xf>
    <xf numFmtId="4" fontId="8" fillId="6" borderId="107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Alignment="1" applyProtection="1">
      <alignment horizontal="left" vertical="center" wrapText="1"/>
      <protection locked="0"/>
    </xf>
    <xf numFmtId="4" fontId="8" fillId="6" borderId="21" xfId="0" applyNumberFormat="1" applyFont="1" applyFill="1" applyBorder="1" applyAlignment="1" applyProtection="1">
      <alignment vertical="center" wrapText="1"/>
      <protection locked="0"/>
    </xf>
    <xf numFmtId="4" fontId="17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12" xfId="0" applyNumberFormat="1" applyFont="1" applyFill="1" applyBorder="1" applyAlignment="1" applyProtection="1">
      <alignment horizontal="right" vertical="center" wrapText="1"/>
    </xf>
    <xf numFmtId="4" fontId="9" fillId="0" borderId="55" xfId="0" applyNumberFormat="1" applyFont="1" applyBorder="1" applyAlignment="1" applyProtection="1">
      <alignment vertical="center" wrapText="1"/>
      <protection locked="0"/>
    </xf>
    <xf numFmtId="4" fontId="9" fillId="0" borderId="57" xfId="0" applyNumberFormat="1" applyFont="1" applyBorder="1" applyAlignment="1" applyProtection="1">
      <alignment vertical="center" wrapText="1"/>
      <protection locked="0"/>
    </xf>
    <xf numFmtId="4" fontId="9" fillId="0" borderId="58" xfId="0" applyNumberFormat="1" applyFont="1" applyBorder="1" applyAlignment="1" applyProtection="1">
      <alignment horizontal="right" vertical="center" wrapText="1"/>
      <protection locked="0"/>
    </xf>
    <xf numFmtId="4" fontId="9" fillId="0" borderId="98" xfId="0" applyNumberFormat="1" applyFont="1" applyBorder="1" applyAlignment="1" applyProtection="1">
      <alignment vertical="center" wrapText="1"/>
      <protection locked="0"/>
    </xf>
    <xf numFmtId="4" fontId="9" fillId="0" borderId="61" xfId="0" applyNumberFormat="1" applyFont="1" applyBorder="1" applyAlignment="1" applyProtection="1">
      <alignment vertical="center" wrapText="1"/>
      <protection locked="0"/>
    </xf>
    <xf numFmtId="4" fontId="9" fillId="0" borderId="108" xfId="0" applyNumberFormat="1" applyFont="1" applyBorder="1" applyAlignment="1" applyProtection="1">
      <alignment vertical="center" wrapText="1"/>
      <protection locked="0"/>
    </xf>
    <xf numFmtId="4" fontId="9" fillId="0" borderId="65" xfId="0" applyNumberFormat="1" applyFont="1" applyBorder="1" applyAlignment="1" applyProtection="1">
      <alignment vertical="center" wrapText="1"/>
      <protection locked="0"/>
    </xf>
    <xf numFmtId="4" fontId="17" fillId="6" borderId="29" xfId="0" applyNumberFormat="1" applyFont="1" applyFill="1" applyBorder="1" applyAlignment="1" applyProtection="1">
      <alignment horizontal="right" vertical="center" wrapText="1"/>
    </xf>
    <xf numFmtId="4" fontId="8" fillId="6" borderId="29" xfId="0" applyNumberFormat="1" applyFont="1" applyFill="1" applyBorder="1" applyAlignment="1" applyProtection="1">
      <alignment horizontal="right" vertical="center" wrapText="1"/>
    </xf>
    <xf numFmtId="4" fontId="8" fillId="4" borderId="12" xfId="0" applyNumberFormat="1" applyFont="1" applyFill="1" applyBorder="1" applyAlignment="1" applyProtection="1">
      <alignment horizontal="right" vertical="center" wrapText="1"/>
    </xf>
    <xf numFmtId="4" fontId="8" fillId="6" borderId="21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horizontal="justify" vertical="center"/>
    </xf>
    <xf numFmtId="4" fontId="17" fillId="6" borderId="12" xfId="0" applyNumberFormat="1" applyFont="1" applyFill="1" applyBorder="1" applyAlignment="1">
      <alignment horizontal="center" vertical="center" wrapText="1"/>
    </xf>
    <xf numFmtId="4" fontId="17" fillId="6" borderId="20" xfId="0" applyNumberFormat="1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4" fontId="8" fillId="0" borderId="55" xfId="0" applyNumberFormat="1" applyFont="1" applyBorder="1" applyAlignment="1" applyProtection="1">
      <alignment horizontal="justify" vertical="center"/>
      <protection locked="0"/>
    </xf>
    <xf numFmtId="4" fontId="8" fillId="0" borderId="57" xfId="0" applyNumberFormat="1" applyFont="1" applyBorder="1" applyAlignment="1" applyProtection="1">
      <alignment horizontal="justify" vertical="center"/>
      <protection locked="0"/>
    </xf>
    <xf numFmtId="4" fontId="9" fillId="0" borderId="97" xfId="0" applyNumberFormat="1" applyFont="1" applyBorder="1" applyAlignment="1" applyProtection="1">
      <alignment horizontal="right"/>
      <protection locked="0"/>
    </xf>
    <xf numFmtId="4" fontId="9" fillId="0" borderId="55" xfId="0" applyNumberFormat="1" applyFont="1" applyBorder="1" applyAlignment="1" applyProtection="1">
      <alignment horizontal="left" vertical="center" wrapText="1"/>
      <protection locked="0"/>
    </xf>
    <xf numFmtId="4" fontId="9" fillId="0" borderId="56" xfId="0" applyNumberFormat="1" applyFont="1" applyBorder="1" applyAlignment="1" applyProtection="1">
      <alignment horizontal="left" vertical="center" wrapText="1"/>
      <protection locked="0"/>
    </xf>
    <xf numFmtId="4" fontId="9" fillId="0" borderId="57" xfId="0" applyNumberFormat="1" applyFont="1" applyBorder="1" applyAlignment="1" applyProtection="1">
      <alignment horizontal="left" vertical="center" wrapText="1"/>
      <protection locked="0"/>
    </xf>
    <xf numFmtId="4" fontId="8" fillId="0" borderId="98" xfId="0" applyNumberFormat="1" applyFont="1" applyBorder="1" applyAlignment="1" applyProtection="1">
      <alignment horizontal="justify" vertical="center"/>
      <protection locked="0"/>
    </xf>
    <xf numFmtId="4" fontId="8" fillId="0" borderId="61" xfId="0" applyNumberFormat="1" applyFont="1" applyBorder="1" applyAlignment="1" applyProtection="1">
      <alignment horizontal="justify" vertical="center"/>
      <protection locked="0"/>
    </xf>
    <xf numFmtId="4" fontId="9" fillId="0" borderId="60" xfId="0" applyNumberFormat="1" applyFont="1" applyBorder="1" applyAlignment="1" applyProtection="1">
      <alignment horizontal="right"/>
      <protection locked="0"/>
    </xf>
    <xf numFmtId="4" fontId="9" fillId="0" borderId="98" xfId="0" applyNumberFormat="1" applyFont="1" applyBorder="1" applyAlignment="1" applyProtection="1">
      <alignment horizontal="right" vertical="center" wrapText="1"/>
      <protection locked="0"/>
    </xf>
    <xf numFmtId="4" fontId="9" fillId="0" borderId="99" xfId="0" applyNumberFormat="1" applyFont="1" applyBorder="1" applyAlignment="1" applyProtection="1">
      <alignment horizontal="right" vertical="center" wrapText="1"/>
      <protection locked="0"/>
    </xf>
    <xf numFmtId="4" fontId="9" fillId="0" borderId="61" xfId="0" applyNumberFormat="1" applyFont="1" applyBorder="1" applyAlignment="1" applyProtection="1">
      <alignment horizontal="right" vertical="center" wrapText="1"/>
      <protection locked="0"/>
    </xf>
    <xf numFmtId="4" fontId="23" fillId="0" borderId="98" xfId="0" applyNumberFormat="1" applyFont="1" applyBorder="1" applyAlignment="1" applyProtection="1">
      <alignment horizontal="justify" vertical="center"/>
      <protection locked="0"/>
    </xf>
    <xf numFmtId="4" fontId="23" fillId="0" borderId="61" xfId="0" applyNumberFormat="1" applyFont="1" applyBorder="1" applyAlignment="1" applyProtection="1">
      <alignment horizontal="justify" vertical="center"/>
      <protection locked="0"/>
    </xf>
    <xf numFmtId="4" fontId="23" fillId="0" borderId="98" xfId="0" applyNumberFormat="1" applyFont="1" applyBorder="1" applyAlignment="1" applyProtection="1">
      <alignment horizontal="right" vertical="center" wrapText="1"/>
      <protection locked="0"/>
    </xf>
    <xf numFmtId="4" fontId="23" fillId="0" borderId="99" xfId="0" applyNumberFormat="1" applyFont="1" applyBorder="1" applyAlignment="1" applyProtection="1">
      <alignment horizontal="right" vertical="center" wrapText="1"/>
      <protection locked="0"/>
    </xf>
    <xf numFmtId="4" fontId="23" fillId="0" borderId="61" xfId="0" applyNumberFormat="1" applyFont="1" applyBorder="1" applyAlignment="1" applyProtection="1">
      <alignment horizontal="right" vertical="center" wrapText="1"/>
      <protection locked="0"/>
    </xf>
    <xf numFmtId="4" fontId="8" fillId="0" borderId="109" xfId="0" applyNumberFormat="1" applyFont="1" applyBorder="1" applyAlignment="1" applyProtection="1">
      <alignment horizontal="justify" vertical="center"/>
      <protection locked="0"/>
    </xf>
    <xf numFmtId="4" fontId="8" fillId="0" borderId="110" xfId="0" applyNumberFormat="1" applyFont="1" applyBorder="1" applyAlignment="1" applyProtection="1">
      <alignment horizontal="justify" vertical="center"/>
      <protection locked="0"/>
    </xf>
    <xf numFmtId="4" fontId="8" fillId="0" borderId="108" xfId="0" applyNumberFormat="1" applyFont="1" applyBorder="1" applyAlignment="1" applyProtection="1">
      <alignment horizontal="justify" vertical="center"/>
      <protection locked="0"/>
    </xf>
    <xf numFmtId="4" fontId="8" fillId="0" borderId="65" xfId="0" applyNumberFormat="1" applyFont="1" applyBorder="1" applyAlignment="1" applyProtection="1">
      <alignment horizontal="justify" vertical="center"/>
      <protection locked="0"/>
    </xf>
    <xf numFmtId="4" fontId="9" fillId="0" borderId="64" xfId="0" applyNumberFormat="1" applyFont="1" applyBorder="1" applyAlignment="1" applyProtection="1">
      <alignment horizontal="right"/>
      <protection locked="0"/>
    </xf>
    <xf numFmtId="4" fontId="9" fillId="0" borderId="108" xfId="0" applyNumberFormat="1" applyFont="1" applyBorder="1" applyAlignment="1" applyProtection="1">
      <alignment horizontal="right" vertical="center" wrapText="1"/>
      <protection locked="0"/>
    </xf>
    <xf numFmtId="4" fontId="9" fillId="0" borderId="111" xfId="0" applyNumberFormat="1" applyFont="1" applyBorder="1" applyAlignment="1" applyProtection="1">
      <alignment horizontal="right" vertical="center" wrapText="1"/>
      <protection locked="0"/>
    </xf>
    <xf numFmtId="4" fontId="9" fillId="0" borderId="65" xfId="0" applyNumberFormat="1" applyFont="1" applyBorder="1" applyAlignment="1" applyProtection="1">
      <alignment horizontal="right" vertical="center" wrapText="1"/>
      <protection locked="0"/>
    </xf>
    <xf numFmtId="4" fontId="8" fillId="6" borderId="20" xfId="0" applyNumberFormat="1" applyFont="1" applyFill="1" applyBorder="1" applyAlignment="1" applyProtection="1">
      <alignment horizontal="justify" vertical="center"/>
      <protection locked="0"/>
    </xf>
    <xf numFmtId="4" fontId="8" fillId="6" borderId="21" xfId="0" applyNumberFormat="1" applyFont="1" applyFill="1" applyBorder="1" applyAlignment="1" applyProtection="1">
      <alignment horizontal="justify" vertical="center"/>
      <protection locked="0"/>
    </xf>
    <xf numFmtId="4" fontId="8" fillId="4" borderId="21" xfId="0" applyNumberFormat="1" applyFont="1" applyFill="1" applyBorder="1" applyAlignment="1" applyProtection="1">
      <alignment horizontal="right" vertical="center"/>
    </xf>
    <xf numFmtId="4" fontId="8" fillId="6" borderId="12" xfId="0" applyNumberFormat="1" applyFont="1" applyFill="1" applyBorder="1" applyAlignment="1" applyProtection="1">
      <alignment horizontal="right" vertical="center"/>
    </xf>
    <xf numFmtId="4" fontId="8" fillId="6" borderId="20" xfId="0" applyNumberFormat="1" applyFont="1" applyFill="1" applyBorder="1" applyAlignment="1" applyProtection="1">
      <alignment horizontal="right" vertical="center"/>
    </xf>
    <xf numFmtId="4" fontId="8" fillId="6" borderId="29" xfId="0" applyNumberFormat="1" applyFont="1" applyFill="1" applyBorder="1" applyAlignment="1" applyProtection="1">
      <alignment horizontal="right" vertical="center"/>
    </xf>
    <xf numFmtId="4" fontId="8" fillId="6" borderId="21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justify"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Alignment="1">
      <alignment vertical="center"/>
    </xf>
    <xf numFmtId="4" fontId="17" fillId="6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>
      <alignment horizontal="left" vertical="center"/>
    </xf>
    <xf numFmtId="4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5" xfId="0" applyNumberFormat="1" applyFont="1" applyFill="1" applyBorder="1" applyAlignment="1" applyProtection="1">
      <alignment vertical="center" wrapText="1"/>
      <protection locked="0"/>
    </xf>
    <xf numFmtId="0" fontId="11" fillId="0" borderId="57" xfId="0" applyFont="1" applyBorder="1" applyAlignment="1">
      <alignment vertical="center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57" xfId="0" applyNumberFormat="1" applyFont="1" applyBorder="1" applyAlignment="1" applyProtection="1">
      <alignment horizontal="right" vertical="center" wrapText="1"/>
      <protection locked="0"/>
    </xf>
    <xf numFmtId="4" fontId="6" fillId="0" borderId="98" xfId="0" applyNumberFormat="1" applyFont="1" applyFill="1" applyBorder="1" applyAlignment="1" applyProtection="1">
      <alignment vertical="center" wrapText="1"/>
      <protection locked="0"/>
    </xf>
    <xf numFmtId="0" fontId="11" fillId="0" borderId="61" xfId="0" applyFont="1" applyBorder="1" applyAlignment="1">
      <alignment vertical="center"/>
    </xf>
    <xf numFmtId="4" fontId="9" fillId="0" borderId="60" xfId="0" applyNumberFormat="1" applyFont="1" applyBorder="1" applyAlignment="1" applyProtection="1">
      <alignment horizontal="right" vertical="center" wrapText="1"/>
      <protection locked="0"/>
    </xf>
    <xf numFmtId="4" fontId="9" fillId="0" borderId="61" xfId="0" applyNumberFormat="1" applyFont="1" applyBorder="1" applyAlignment="1" applyProtection="1">
      <alignment horizontal="right" vertical="center" wrapText="1"/>
      <protection locked="0"/>
    </xf>
    <xf numFmtId="4" fontId="9" fillId="0" borderId="98" xfId="0" applyNumberFormat="1" applyFont="1" applyFill="1" applyBorder="1" applyAlignment="1" applyProtection="1">
      <alignment vertical="center" wrapText="1"/>
      <protection locked="0"/>
    </xf>
    <xf numFmtId="4" fontId="9" fillId="0" borderId="61" xfId="0" applyNumberFormat="1" applyFont="1" applyFill="1" applyBorder="1" applyAlignment="1" applyProtection="1">
      <alignment vertical="center" wrapText="1"/>
      <protection locked="0"/>
    </xf>
    <xf numFmtId="4" fontId="9" fillId="0" borderId="112" xfId="0" applyNumberFormat="1" applyFont="1" applyBorder="1" applyAlignment="1" applyProtection="1">
      <alignment horizontal="right" vertical="center" wrapText="1"/>
      <protection locked="0"/>
    </xf>
    <xf numFmtId="4" fontId="9" fillId="0" borderId="110" xfId="0" applyNumberFormat="1" applyFont="1" applyBorder="1" applyAlignment="1" applyProtection="1">
      <alignment horizontal="right" vertical="center" wrapText="1"/>
      <protection locked="0"/>
    </xf>
    <xf numFmtId="4" fontId="9" fillId="0" borderId="108" xfId="0" applyNumberFormat="1" applyFont="1" applyFill="1" applyBorder="1" applyAlignment="1" applyProtection="1">
      <alignment vertical="center" wrapText="1"/>
      <protection locked="0"/>
    </xf>
    <xf numFmtId="0" fontId="11" fillId="0" borderId="65" xfId="0" applyFont="1" applyFill="1" applyBorder="1" applyAlignment="1">
      <alignment vertical="center"/>
    </xf>
    <xf numFmtId="4" fontId="9" fillId="0" borderId="64" xfId="0" applyNumberFormat="1" applyFont="1" applyBorder="1" applyAlignment="1" applyProtection="1">
      <alignment horizontal="right" vertical="center" wrapText="1"/>
      <protection locked="0"/>
    </xf>
    <xf numFmtId="4" fontId="9" fillId="0" borderId="65" xfId="0" applyNumberFormat="1" applyFont="1" applyBorder="1" applyAlignment="1" applyProtection="1">
      <alignment horizontal="right" vertical="center" wrapText="1"/>
      <protection locked="0"/>
    </xf>
    <xf numFmtId="0" fontId="11" fillId="0" borderId="21" xfId="0" applyFont="1" applyBorder="1" applyAlignment="1">
      <alignment vertical="center"/>
    </xf>
    <xf numFmtId="4" fontId="17" fillId="0" borderId="0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1" fillId="0" borderId="21" xfId="0" applyFont="1" applyBorder="1" applyAlignment="1">
      <alignment vertical="center" wrapText="1"/>
    </xf>
    <xf numFmtId="4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Alignment="1">
      <alignment vertical="center"/>
    </xf>
    <xf numFmtId="4" fontId="8" fillId="4" borderId="20" xfId="0" applyNumberFormat="1" applyFont="1" applyFill="1" applyBorder="1" applyAlignment="1" applyProtection="1">
      <alignment horizontal="left" vertical="center"/>
      <protection locked="0"/>
    </xf>
    <xf numFmtId="4" fontId="8" fillId="4" borderId="21" xfId="0" applyNumberFormat="1" applyFont="1" applyFill="1" applyBorder="1" applyAlignment="1" applyProtection="1">
      <alignment horizontal="left" vertical="center"/>
      <protection locked="0"/>
    </xf>
    <xf numFmtId="4" fontId="8" fillId="4" borderId="12" xfId="0" applyNumberFormat="1" applyFont="1" applyFill="1" applyBorder="1" applyAlignment="1" applyProtection="1">
      <alignment horizontal="right" vertical="center"/>
    </xf>
    <xf numFmtId="4" fontId="9" fillId="0" borderId="97" xfId="0" applyNumberFormat="1" applyFont="1" applyFill="1" applyBorder="1" applyAlignment="1" applyProtection="1">
      <alignment horizontal="right" vertical="center"/>
      <protection locked="0"/>
    </xf>
    <xf numFmtId="4" fontId="6" fillId="0" borderId="98" xfId="0" applyNumberFormat="1" applyFont="1" applyFill="1" applyBorder="1" applyAlignment="1" applyProtection="1">
      <alignment horizontal="left" vertical="center"/>
      <protection locked="0"/>
    </xf>
    <xf numFmtId="4" fontId="6" fillId="0" borderId="61" xfId="0" applyNumberFormat="1" applyFont="1" applyFill="1" applyBorder="1" applyAlignment="1" applyProtection="1">
      <alignment horizontal="left" vertical="center"/>
      <protection locked="0"/>
    </xf>
    <xf numFmtId="4" fontId="9" fillId="0" borderId="60" xfId="0" applyNumberFormat="1" applyFont="1" applyFill="1" applyBorder="1" applyAlignment="1" applyProtection="1">
      <alignment horizontal="right" vertical="center"/>
      <protection locked="0"/>
    </xf>
    <xf numFmtId="4" fontId="9" fillId="0" borderId="98" xfId="0" applyNumberFormat="1" applyFont="1" applyBorder="1" applyAlignment="1" applyProtection="1">
      <alignment horizontal="left" vertical="center"/>
      <protection locked="0"/>
    </xf>
    <xf numFmtId="4" fontId="9" fillId="0" borderId="61" xfId="0" applyNumberFormat="1" applyFont="1" applyBorder="1" applyAlignment="1" applyProtection="1">
      <alignment horizontal="left" vertical="center"/>
      <protection locked="0"/>
    </xf>
    <xf numFmtId="4" fontId="9" fillId="0" borderId="98" xfId="0" applyNumberFormat="1" applyFont="1" applyFill="1" applyBorder="1" applyAlignment="1" applyProtection="1">
      <alignment horizontal="left" vertical="center" wrapText="1"/>
      <protection locked="0"/>
    </xf>
    <xf numFmtId="4" fontId="9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8" xfId="0" applyNumberFormat="1" applyFont="1" applyFill="1" applyBorder="1" applyAlignment="1" applyProtection="1">
      <alignment horizontal="left" vertical="center"/>
      <protection locked="0"/>
    </xf>
    <xf numFmtId="4" fontId="9" fillId="0" borderId="61" xfId="0" applyNumberFormat="1" applyFont="1" applyFill="1" applyBorder="1" applyAlignment="1" applyProtection="1">
      <alignment horizontal="left" vertical="center"/>
      <protection locked="0"/>
    </xf>
    <xf numFmtId="4" fontId="9" fillId="0" borderId="108" xfId="0" applyNumberFormat="1" applyFont="1" applyBorder="1" applyAlignment="1" applyProtection="1">
      <alignment horizontal="left" vertical="center"/>
      <protection locked="0"/>
    </xf>
    <xf numFmtId="4" fontId="9" fillId="0" borderId="65" xfId="0" applyNumberFormat="1" applyFont="1" applyBorder="1" applyAlignment="1" applyProtection="1">
      <alignment horizontal="left" vertical="center"/>
      <protection locked="0"/>
    </xf>
    <xf numFmtId="4" fontId="9" fillId="0" borderId="64" xfId="0" applyNumberFormat="1" applyFont="1" applyFill="1" applyBorder="1" applyAlignment="1" applyProtection="1">
      <alignment horizontal="right" vertical="center"/>
      <protection locked="0"/>
    </xf>
    <xf numFmtId="4" fontId="9" fillId="0" borderId="108" xfId="0" applyNumberFormat="1" applyFont="1" applyFill="1" applyBorder="1" applyAlignment="1" applyProtection="1">
      <alignment horizontal="left" vertical="center" wrapText="1"/>
      <protection locked="0"/>
    </xf>
    <xf numFmtId="4" fontId="9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17" fillId="6" borderId="20" xfId="0" applyNumberFormat="1" applyFont="1" applyFill="1" applyBorder="1" applyAlignment="1" applyProtection="1">
      <alignment vertical="center"/>
      <protection locked="0"/>
    </xf>
    <xf numFmtId="4" fontId="17" fillId="6" borderId="21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5" xfId="0" applyNumberFormat="1" applyFont="1" applyFill="1" applyBorder="1" applyAlignment="1" applyProtection="1">
      <alignment vertical="center"/>
      <protection locked="0"/>
    </xf>
    <xf numFmtId="4" fontId="8" fillId="0" borderId="57" xfId="0" applyNumberFormat="1" applyFont="1" applyFill="1" applyBorder="1" applyAlignment="1" applyProtection="1">
      <alignment vertical="center"/>
      <protection locked="0"/>
    </xf>
    <xf numFmtId="4" fontId="8" fillId="0" borderId="58" xfId="0" applyNumberFormat="1" applyFont="1" applyBorder="1" applyAlignment="1" applyProtection="1">
      <alignment vertical="center"/>
      <protection locked="0"/>
    </xf>
    <xf numFmtId="4" fontId="23" fillId="0" borderId="98" xfId="0" applyNumberFormat="1" applyFont="1" applyFill="1" applyBorder="1" applyAlignment="1" applyProtection="1">
      <alignment vertical="center"/>
      <protection locked="0"/>
    </xf>
    <xf numFmtId="4" fontId="23" fillId="0" borderId="61" xfId="0" applyNumberFormat="1" applyFont="1" applyFill="1" applyBorder="1" applyAlignment="1" applyProtection="1">
      <alignment vertical="center"/>
      <protection locked="0"/>
    </xf>
    <xf numFmtId="4" fontId="23" fillId="0" borderId="58" xfId="0" applyNumberFormat="1" applyFont="1" applyBorder="1" applyAlignment="1" applyProtection="1">
      <alignment vertical="center"/>
      <protection locked="0"/>
    </xf>
    <xf numFmtId="4" fontId="23" fillId="0" borderId="98" xfId="0" applyNumberFormat="1" applyFont="1" applyFill="1" applyBorder="1" applyAlignment="1" applyProtection="1">
      <alignment vertical="center" wrapText="1"/>
      <protection locked="0"/>
    </xf>
    <xf numFmtId="4" fontId="23" fillId="0" borderId="61" xfId="0" applyNumberFormat="1" applyFont="1" applyFill="1" applyBorder="1" applyAlignment="1" applyProtection="1">
      <alignment vertical="center" wrapText="1"/>
      <protection locked="0"/>
    </xf>
    <xf numFmtId="4" fontId="8" fillId="0" borderId="98" xfId="0" applyNumberFormat="1" applyFont="1" applyFill="1" applyBorder="1" applyAlignment="1" applyProtection="1">
      <alignment vertical="center"/>
      <protection locked="0"/>
    </xf>
    <xf numFmtId="4" fontId="8" fillId="0" borderId="61" xfId="0" applyNumberFormat="1" applyFont="1" applyFill="1" applyBorder="1" applyAlignment="1" applyProtection="1">
      <alignment vertical="center"/>
      <protection locked="0"/>
    </xf>
    <xf numFmtId="4" fontId="8" fillId="0" borderId="59" xfId="0" applyNumberFormat="1" applyFont="1" applyBorder="1" applyAlignment="1" applyProtection="1">
      <alignment vertical="center"/>
      <protection locked="0"/>
    </xf>
    <xf numFmtId="4" fontId="23" fillId="0" borderId="98" xfId="0" applyNumberFormat="1" applyFont="1" applyFill="1" applyBorder="1" applyAlignment="1" applyProtection="1">
      <alignment horizontal="left" vertical="center"/>
      <protection locked="0"/>
    </xf>
    <xf numFmtId="4" fontId="23" fillId="0" borderId="61" xfId="0" applyNumberFormat="1" applyFont="1" applyFill="1" applyBorder="1" applyAlignment="1" applyProtection="1">
      <alignment horizontal="left" vertical="center"/>
      <protection locked="0"/>
    </xf>
    <xf numFmtId="4" fontId="23" fillId="0" borderId="108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8" fillId="4" borderId="12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Alignment="1">
      <alignment horizontal="left" vertical="center" wrapText="1"/>
    </xf>
    <xf numFmtId="4" fontId="17" fillId="6" borderId="20" xfId="0" applyNumberFormat="1" applyFont="1" applyFill="1" applyBorder="1" applyAlignment="1">
      <alignment horizontal="left" vertical="center"/>
    </xf>
    <xf numFmtId="4" fontId="17" fillId="6" borderId="21" xfId="0" applyNumberFormat="1" applyFont="1" applyFill="1" applyBorder="1" applyAlignment="1">
      <alignment horizontal="left" vertical="center"/>
    </xf>
    <xf numFmtId="4" fontId="17" fillId="4" borderId="20" xfId="0" applyNumberFormat="1" applyFont="1" applyFill="1" applyBorder="1" applyAlignment="1">
      <alignment horizontal="center" vertical="center" wrapText="1"/>
    </xf>
    <xf numFmtId="4" fontId="9" fillId="0" borderId="98" xfId="0" applyNumberFormat="1" applyFont="1" applyBorder="1" applyAlignment="1" applyProtection="1">
      <alignment horizontal="justify" vertical="center"/>
      <protection locked="0"/>
    </xf>
    <xf numFmtId="4" fontId="9" fillId="0" borderId="61" xfId="0" applyNumberFormat="1" applyFont="1" applyBorder="1" applyAlignment="1" applyProtection="1">
      <alignment horizontal="justify" vertical="center"/>
      <protection locked="0"/>
    </xf>
    <xf numFmtId="4" fontId="9" fillId="0" borderId="12" xfId="0" applyNumberFormat="1" applyFont="1" applyBorder="1" applyAlignment="1" applyProtection="1">
      <alignment horizontal="right" vertical="center"/>
      <protection locked="0"/>
    </xf>
    <xf numFmtId="4" fontId="8" fillId="6" borderId="20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vertical="center" wrapText="1"/>
    </xf>
    <xf numFmtId="4" fontId="9" fillId="0" borderId="77" xfId="0" applyNumberFormat="1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4" fontId="17" fillId="0" borderId="0" xfId="0" applyNumberFormat="1" applyFont="1" applyFill="1" applyAlignment="1" applyProtection="1">
      <alignment horizontal="left" vertical="center" wrapText="1"/>
      <protection locked="0"/>
    </xf>
    <xf numFmtId="4" fontId="24" fillId="0" borderId="0" xfId="0" applyNumberFormat="1" applyFont="1" applyFill="1" applyAlignment="1" applyProtection="1">
      <alignment vertical="center"/>
      <protection locked="0"/>
    </xf>
    <xf numFmtId="4" fontId="25" fillId="0" borderId="0" xfId="0" applyNumberFormat="1" applyFont="1" applyFill="1" applyAlignment="1" applyProtection="1">
      <alignment vertical="center"/>
      <protection locked="0"/>
    </xf>
    <xf numFmtId="4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77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06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7" xfId="3" applyFont="1" applyFill="1" applyBorder="1" applyAlignment="1" applyProtection="1">
      <alignment vertical="center" wrapText="1"/>
    </xf>
    <xf numFmtId="4" fontId="8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12" xfId="0" applyNumberFormat="1" applyFont="1" applyFill="1" applyBorder="1" applyAlignment="1" applyProtection="1">
      <alignment vertical="center" wrapText="1"/>
      <protection locked="0"/>
    </xf>
    <xf numFmtId="4" fontId="8" fillId="0" borderId="20" xfId="0" applyNumberFormat="1" applyFont="1" applyFill="1" applyBorder="1" applyAlignment="1" applyProtection="1">
      <alignment vertical="center" wrapText="1"/>
      <protection locked="0"/>
    </xf>
    <xf numFmtId="4" fontId="8" fillId="0" borderId="96" xfId="0" applyNumberFormat="1" applyFont="1" applyFill="1" applyBorder="1" applyAlignment="1" applyProtection="1">
      <alignment vertical="center" wrapText="1"/>
      <protection locked="0"/>
    </xf>
    <xf numFmtId="4" fontId="8" fillId="0" borderId="102" xfId="0" applyNumberFormat="1" applyFont="1" applyFill="1" applyBorder="1" applyAlignment="1" applyProtection="1">
      <alignment vertical="center" wrapText="1"/>
      <protection locked="0"/>
    </xf>
    <xf numFmtId="4" fontId="8" fillId="0" borderId="21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0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0" xfId="0" applyNumberFormat="1" applyFont="1" applyFill="1" applyBorder="1" applyAlignment="1" applyProtection="1">
      <alignment horizontal="right" vertical="center" wrapText="1"/>
    </xf>
    <xf numFmtId="4" fontId="9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0" xfId="0" applyNumberFormat="1" applyFont="1" applyFill="1" applyBorder="1" applyAlignment="1" applyProtection="1">
      <alignment vertical="center" wrapText="1"/>
      <protection locked="0"/>
    </xf>
    <xf numFmtId="4" fontId="9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0" xfId="0" applyNumberFormat="1" applyFont="1" applyFill="1" applyBorder="1" applyAlignment="1" applyProtection="1">
      <alignment vertical="center" wrapText="1"/>
      <protection locked="0"/>
    </xf>
    <xf numFmtId="4" fontId="17" fillId="0" borderId="12" xfId="0" applyNumberFormat="1" applyFont="1" applyFill="1" applyBorder="1" applyAlignment="1">
      <alignment horizontal="left" vertical="center" wrapText="1"/>
    </xf>
    <xf numFmtId="4" fontId="17" fillId="0" borderId="20" xfId="0" applyNumberFormat="1" applyFont="1" applyFill="1" applyBorder="1" applyAlignment="1" applyProtection="1">
      <alignment horizontal="right" vertical="center" wrapText="1"/>
    </xf>
    <xf numFmtId="4" fontId="17" fillId="0" borderId="96" xfId="0" applyNumberFormat="1" applyFont="1" applyFill="1" applyBorder="1" applyAlignment="1" applyProtection="1">
      <alignment horizontal="right" vertical="center" wrapText="1"/>
    </xf>
    <xf numFmtId="4" fontId="17" fillId="0" borderId="102" xfId="0" applyNumberFormat="1" applyFont="1" applyFill="1" applyBorder="1" applyAlignment="1" applyProtection="1">
      <alignment horizontal="right" vertical="center" wrapText="1"/>
    </xf>
    <xf numFmtId="4" fontId="17" fillId="0" borderId="12" xfId="0" applyNumberFormat="1" applyFont="1" applyFill="1" applyBorder="1" applyAlignment="1" applyProtection="1">
      <alignment horizontal="right" vertical="center" wrapText="1"/>
    </xf>
    <xf numFmtId="4" fontId="17" fillId="0" borderId="21" xfId="0" applyNumberFormat="1" applyFont="1" applyFill="1" applyBorder="1" applyAlignment="1" applyProtection="1">
      <alignment horizontal="right" vertical="center" wrapText="1"/>
    </xf>
    <xf numFmtId="4" fontId="17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102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97" xfId="0" applyNumberFormat="1" applyFont="1" applyFill="1" applyBorder="1" applyAlignment="1" applyProtection="1">
      <alignment vertical="center" wrapText="1"/>
      <protection locked="0"/>
    </xf>
    <xf numFmtId="4" fontId="6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" xfId="0" applyNumberFormat="1" applyFont="1" applyFill="1" applyBorder="1" applyAlignment="1" applyProtection="1">
      <alignment vertical="center" wrapText="1"/>
      <protection locked="0"/>
    </xf>
    <xf numFmtId="4" fontId="17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12" xfId="0" applyNumberFormat="1" applyFont="1" applyFill="1" applyBorder="1" applyAlignment="1" applyProtection="1">
      <alignment vertical="center" wrapText="1"/>
      <protection locked="0"/>
    </xf>
    <xf numFmtId="4" fontId="17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7" fillId="4" borderId="97" xfId="3" applyFont="1" applyFill="1" applyBorder="1" applyAlignment="1" applyProtection="1">
      <alignment vertical="center" wrapText="1"/>
    </xf>
    <xf numFmtId="4" fontId="8" fillId="4" borderId="20" xfId="0" applyNumberFormat="1" applyFont="1" applyFill="1" applyBorder="1" applyAlignment="1" applyProtection="1">
      <alignment horizontal="right" vertical="center" wrapText="1"/>
    </xf>
    <xf numFmtId="4" fontId="8" fillId="4" borderId="96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center" wrapText="1"/>
    </xf>
    <xf numFmtId="0" fontId="17" fillId="4" borderId="12" xfId="3" applyFont="1" applyFill="1" applyBorder="1" applyAlignment="1" applyProtection="1">
      <alignment vertical="center" wrapText="1"/>
    </xf>
    <xf numFmtId="4" fontId="6" fillId="0" borderId="0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17" fillId="6" borderId="20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1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5" xfId="0" applyNumberFormat="1" applyFont="1" applyBorder="1" applyAlignment="1" applyProtection="1">
      <alignment horizontal="left" vertical="center" wrapText="1"/>
      <protection locked="0"/>
    </xf>
    <xf numFmtId="4" fontId="8" fillId="0" borderId="57" xfId="0" applyNumberFormat="1" applyFont="1" applyBorder="1" applyAlignment="1" applyProtection="1">
      <alignment horizontal="left" vertical="center" wrapText="1"/>
      <protection locked="0"/>
    </xf>
    <xf numFmtId="4" fontId="8" fillId="0" borderId="97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98" xfId="0" applyNumberFormat="1" applyFont="1" applyBorder="1" applyAlignment="1" applyProtection="1">
      <alignment horizontal="left" vertical="center" wrapText="1"/>
      <protection locked="0"/>
    </xf>
    <xf numFmtId="4" fontId="8" fillId="0" borderId="61" xfId="0" applyNumberFormat="1" applyFont="1" applyBorder="1" applyAlignment="1" applyProtection="1">
      <alignment horizontal="left" vertical="center" wrapText="1"/>
      <protection locked="0"/>
    </xf>
    <xf numFmtId="4" fontId="8" fillId="0" borderId="60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4" fontId="8" fillId="0" borderId="98" xfId="0" applyNumberFormat="1" applyFont="1" applyFill="1" applyBorder="1" applyAlignment="1" applyProtection="1">
      <alignment horizontal="left" vertical="center" wrapText="1"/>
      <protection locked="0"/>
    </xf>
    <xf numFmtId="4" fontId="8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8" fillId="0" borderId="60" xfId="0" applyNumberFormat="1" applyFont="1" applyFill="1" applyBorder="1" applyAlignment="1" applyProtection="1">
      <alignment horizontal="right" vertical="center" wrapText="1"/>
    </xf>
    <xf numFmtId="4" fontId="9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98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8" xfId="0" applyNumberFormat="1" applyFont="1" applyBorder="1" applyAlignment="1" applyProtection="1">
      <alignment horizontal="left" vertical="center" wrapText="1"/>
      <protection locked="0"/>
    </xf>
    <xf numFmtId="4" fontId="9" fillId="0" borderId="61" xfId="0" applyNumberFormat="1" applyFont="1" applyBorder="1" applyAlignment="1" applyProtection="1">
      <alignment horizontal="left" vertical="center" wrapText="1"/>
      <protection locked="0"/>
    </xf>
    <xf numFmtId="4" fontId="8" fillId="0" borderId="108" xfId="0" applyNumberFormat="1" applyFont="1" applyBorder="1" applyAlignment="1" applyProtection="1">
      <alignment horizontal="left" vertical="center" wrapText="1"/>
      <protection locked="0"/>
    </xf>
    <xf numFmtId="4" fontId="8" fillId="0" borderId="65" xfId="0" applyNumberFormat="1" applyFont="1" applyBorder="1" applyAlignment="1" applyProtection="1">
      <alignment horizontal="left" vertical="center" wrapText="1"/>
      <protection locked="0"/>
    </xf>
    <xf numFmtId="4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8" fillId="6" borderId="20" xfId="0" applyNumberFormat="1" applyFont="1" applyFill="1" applyBorder="1" applyAlignment="1" applyProtection="1">
      <alignment horizontal="justify" vertical="center" wrapText="1"/>
      <protection locked="0"/>
    </xf>
    <xf numFmtId="4" fontId="8" fillId="6" borderId="21" xfId="0" applyNumberFormat="1" applyFont="1" applyFill="1" applyBorder="1" applyAlignment="1" applyProtection="1">
      <alignment horizontal="justify" vertical="center" wrapText="1"/>
      <protection locked="0"/>
    </xf>
    <xf numFmtId="4" fontId="17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4" fontId="1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0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0" xfId="0" applyNumberFormat="1" applyFont="1" applyFill="1" applyBorder="1" applyAlignment="1" applyProtection="1">
      <alignment vertical="center" wrapText="1"/>
      <protection locked="0"/>
    </xf>
    <xf numFmtId="4" fontId="17" fillId="0" borderId="29" xfId="0" applyNumberFormat="1" applyFont="1" applyFill="1" applyBorder="1" applyAlignment="1" applyProtection="1">
      <alignment vertical="center" wrapText="1"/>
      <protection locked="0"/>
    </xf>
    <xf numFmtId="4" fontId="17" fillId="0" borderId="21" xfId="0" applyNumberFormat="1" applyFont="1" applyFill="1" applyBorder="1" applyAlignment="1" applyProtection="1">
      <alignment vertical="center" wrapText="1"/>
      <protection locked="0"/>
    </xf>
    <xf numFmtId="4" fontId="8" fillId="0" borderId="21" xfId="0" applyNumberFormat="1" applyFont="1" applyFill="1" applyBorder="1" applyAlignment="1" applyProtection="1">
      <alignment vertical="center"/>
    </xf>
    <xf numFmtId="4" fontId="8" fillId="0" borderId="12" xfId="0" applyNumberFormat="1" applyFont="1" applyFill="1" applyBorder="1" applyAlignment="1" applyProtection="1">
      <alignment vertical="center"/>
    </xf>
    <xf numFmtId="49" fontId="6" fillId="0" borderId="55" xfId="0" applyNumberFormat="1" applyFont="1" applyFill="1" applyBorder="1" applyAlignment="1" applyProtection="1">
      <alignment vertical="center" wrapText="1"/>
      <protection locked="0"/>
    </xf>
    <xf numFmtId="49" fontId="6" fillId="0" borderId="56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vertical="center" wrapText="1"/>
      <protection locked="0"/>
    </xf>
    <xf numFmtId="4" fontId="9" fillId="0" borderId="57" xfId="0" applyNumberFormat="1" applyFont="1" applyBorder="1" applyAlignment="1" applyProtection="1">
      <alignment vertical="center"/>
      <protection locked="0"/>
    </xf>
    <xf numFmtId="4" fontId="9" fillId="0" borderId="97" xfId="0" applyNumberFormat="1" applyFont="1" applyBorder="1" applyAlignment="1" applyProtection="1">
      <alignment vertical="center"/>
      <protection locked="0"/>
    </xf>
    <xf numFmtId="49" fontId="6" fillId="0" borderId="98" xfId="0" applyNumberFormat="1" applyFont="1" applyFill="1" applyBorder="1" applyAlignment="1" applyProtection="1">
      <alignment vertical="center" wrapText="1"/>
      <protection locked="0"/>
    </xf>
    <xf numFmtId="49" fontId="6" fillId="0" borderId="99" xfId="0" applyNumberFormat="1" applyFont="1" applyFill="1" applyBorder="1" applyAlignment="1" applyProtection="1">
      <alignment vertical="center" wrapText="1"/>
      <protection locked="0"/>
    </xf>
    <xf numFmtId="49" fontId="6" fillId="0" borderId="61" xfId="0" applyNumberFormat="1" applyFont="1" applyFill="1" applyBorder="1" applyAlignment="1" applyProtection="1">
      <alignment vertical="center" wrapText="1"/>
      <protection locked="0"/>
    </xf>
    <xf numFmtId="4" fontId="9" fillId="0" borderId="59" xfId="0" applyNumberFormat="1" applyFont="1" applyBorder="1" applyAlignment="1" applyProtection="1">
      <alignment vertical="center"/>
      <protection locked="0"/>
    </xf>
    <xf numFmtId="4" fontId="9" fillId="0" borderId="58" xfId="0" applyNumberFormat="1" applyFont="1" applyBorder="1" applyAlignment="1" applyProtection="1">
      <alignment vertical="center"/>
      <protection locked="0"/>
    </xf>
    <xf numFmtId="49" fontId="18" fillId="0" borderId="109" xfId="0" applyNumberFormat="1" applyFont="1" applyFill="1" applyBorder="1" applyAlignment="1" applyProtection="1">
      <alignment vertical="center" wrapText="1"/>
      <protection locked="0"/>
    </xf>
    <xf numFmtId="49" fontId="18" fillId="0" borderId="115" xfId="0" applyNumberFormat="1" applyFont="1" applyFill="1" applyBorder="1" applyAlignment="1" applyProtection="1">
      <alignment vertical="center" wrapText="1"/>
      <protection locked="0"/>
    </xf>
    <xf numFmtId="49" fontId="18" fillId="0" borderId="110" xfId="0" applyNumberFormat="1" applyFont="1" applyFill="1" applyBorder="1" applyAlignment="1" applyProtection="1">
      <alignment vertical="center" wrapText="1"/>
      <protection locked="0"/>
    </xf>
    <xf numFmtId="4" fontId="23" fillId="0" borderId="60" xfId="0" applyNumberFormat="1" applyFont="1" applyBorder="1" applyAlignment="1" applyProtection="1">
      <alignment vertical="center"/>
      <protection locked="0"/>
    </xf>
    <xf numFmtId="49" fontId="18" fillId="0" borderId="98" xfId="0" applyNumberFormat="1" applyFont="1" applyFill="1" applyBorder="1" applyAlignment="1" applyProtection="1">
      <alignment vertical="center" wrapText="1"/>
      <protection locked="0"/>
    </xf>
    <xf numFmtId="49" fontId="18" fillId="0" borderId="99" xfId="0" applyNumberFormat="1" applyFont="1" applyFill="1" applyBorder="1" applyAlignment="1" applyProtection="1">
      <alignment vertical="center" wrapText="1"/>
      <protection locked="0"/>
    </xf>
    <xf numFmtId="49" fontId="18" fillId="0" borderId="61" xfId="0" applyNumberFormat="1" applyFont="1" applyFill="1" applyBorder="1" applyAlignment="1" applyProtection="1">
      <alignment vertical="center" wrapText="1"/>
      <protection locked="0"/>
    </xf>
    <xf numFmtId="49" fontId="18" fillId="0" borderId="9" xfId="0" applyNumberFormat="1" applyFont="1" applyFill="1" applyBorder="1" applyAlignment="1" applyProtection="1">
      <alignment vertical="center" wrapText="1"/>
      <protection locked="0"/>
    </xf>
    <xf numFmtId="49" fontId="18" fillId="0" borderId="10" xfId="0" applyNumberFormat="1" applyFont="1" applyFill="1" applyBorder="1" applyAlignment="1" applyProtection="1">
      <alignment vertical="center" wrapText="1"/>
      <protection locked="0"/>
    </xf>
    <xf numFmtId="49" fontId="18" fillId="0" borderId="11" xfId="0" applyNumberFormat="1" applyFont="1" applyFill="1" applyBorder="1" applyAlignment="1" applyProtection="1">
      <alignment vertical="center" wrapText="1"/>
      <protection locked="0"/>
    </xf>
    <xf numFmtId="4" fontId="23" fillId="0" borderId="11" xfId="0" applyNumberFormat="1" applyFont="1" applyBorder="1" applyAlignment="1" applyProtection="1">
      <alignment vertical="center"/>
      <protection locked="0"/>
    </xf>
    <xf numFmtId="4" fontId="23" fillId="0" borderId="8" xfId="0" applyNumberFormat="1" applyFont="1" applyBorder="1" applyAlignment="1" applyProtection="1">
      <alignment vertical="center"/>
      <protection locked="0"/>
    </xf>
    <xf numFmtId="4" fontId="6" fillId="0" borderId="55" xfId="0" applyNumberFormat="1" applyFont="1" applyFill="1" applyBorder="1" applyAlignment="1" applyProtection="1">
      <alignment vertical="center"/>
      <protection locked="0"/>
    </xf>
    <xf numFmtId="4" fontId="6" fillId="0" borderId="56" xfId="0" applyNumberFormat="1" applyFont="1" applyFill="1" applyBorder="1" applyAlignment="1" applyProtection="1">
      <alignment vertical="center"/>
      <protection locked="0"/>
    </xf>
    <xf numFmtId="4" fontId="6" fillId="0" borderId="57" xfId="0" applyNumberFormat="1" applyFont="1" applyFill="1" applyBorder="1" applyAlignment="1" applyProtection="1">
      <alignment vertical="center"/>
      <protection locked="0"/>
    </xf>
    <xf numFmtId="4" fontId="9" fillId="0" borderId="113" xfId="0" applyNumberFormat="1" applyFont="1" applyBorder="1" applyAlignment="1" applyProtection="1">
      <alignment vertical="center"/>
      <protection locked="0"/>
    </xf>
    <xf numFmtId="4" fontId="9" fillId="0" borderId="116" xfId="0" applyNumberFormat="1" applyFont="1" applyBorder="1" applyAlignment="1" applyProtection="1">
      <alignment vertical="center"/>
      <protection locked="0"/>
    </xf>
    <xf numFmtId="4" fontId="23" fillId="0" borderId="69" xfId="0" applyNumberFormat="1" applyFont="1" applyBorder="1" applyAlignment="1" applyProtection="1">
      <alignment vertical="center"/>
      <protection locked="0"/>
    </xf>
    <xf numFmtId="4" fontId="23" fillId="0" borderId="115" xfId="0" applyNumberFormat="1" applyFont="1" applyBorder="1" applyAlignment="1" applyProtection="1">
      <alignment vertical="center"/>
      <protection locked="0"/>
    </xf>
    <xf numFmtId="4" fontId="23" fillId="0" borderId="117" xfId="0" applyNumberFormat="1" applyFont="1" applyBorder="1" applyAlignment="1" applyProtection="1">
      <alignment vertical="center"/>
      <protection locked="0"/>
    </xf>
    <xf numFmtId="4" fontId="18" fillId="0" borderId="108" xfId="0" applyNumberFormat="1" applyFont="1" applyFill="1" applyBorder="1" applyAlignment="1" applyProtection="1">
      <alignment vertical="center"/>
      <protection locked="0"/>
    </xf>
    <xf numFmtId="4" fontId="18" fillId="0" borderId="111" xfId="0" applyNumberFormat="1" applyFont="1" applyFill="1" applyBorder="1" applyAlignment="1" applyProtection="1">
      <alignment vertical="center"/>
      <protection locked="0"/>
    </xf>
    <xf numFmtId="4" fontId="18" fillId="0" borderId="65" xfId="0" applyNumberFormat="1" applyFont="1" applyFill="1" applyBorder="1" applyAlignment="1" applyProtection="1">
      <alignment vertical="center"/>
      <protection locked="0"/>
    </xf>
    <xf numFmtId="4" fontId="23" fillId="0" borderId="118" xfId="0" applyNumberFormat="1" applyFont="1" applyBorder="1" applyAlignment="1" applyProtection="1">
      <alignment vertical="center"/>
      <protection locked="0"/>
    </xf>
    <xf numFmtId="4" fontId="23" fillId="0" borderId="105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left" vertical="center"/>
      <protection locked="0"/>
    </xf>
    <xf numFmtId="4" fontId="17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/>
    </xf>
    <xf numFmtId="4" fontId="9" fillId="0" borderId="55" xfId="0" applyNumberFormat="1" applyFont="1" applyFill="1" applyBorder="1" applyAlignment="1" applyProtection="1">
      <alignment vertical="center"/>
      <protection locked="0"/>
    </xf>
    <xf numFmtId="4" fontId="9" fillId="0" borderId="56" xfId="0" applyNumberFormat="1" applyFont="1" applyFill="1" applyBorder="1" applyAlignment="1" applyProtection="1">
      <alignment vertical="center"/>
      <protection locked="0"/>
    </xf>
    <xf numFmtId="4" fontId="9" fillId="0" borderId="57" xfId="0" applyNumberFormat="1" applyFont="1" applyFill="1" applyBorder="1" applyAlignment="1" applyProtection="1">
      <alignment vertical="center"/>
      <protection locked="0"/>
    </xf>
    <xf numFmtId="4" fontId="9" fillId="0" borderId="98" xfId="0" applyNumberFormat="1" applyFont="1" applyFill="1" applyBorder="1" applyAlignment="1" applyProtection="1">
      <alignment vertical="center"/>
      <protection locked="0"/>
    </xf>
    <xf numFmtId="4" fontId="9" fillId="0" borderId="99" xfId="0" applyNumberFormat="1" applyFont="1" applyFill="1" applyBorder="1" applyAlignment="1" applyProtection="1">
      <alignment vertical="center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" fontId="6" fillId="0" borderId="98" xfId="0" applyNumberFormat="1" applyFont="1" applyFill="1" applyBorder="1" applyAlignment="1" applyProtection="1">
      <alignment vertical="center"/>
      <protection locked="0"/>
    </xf>
    <xf numFmtId="4" fontId="6" fillId="0" borderId="99" xfId="0" applyNumberFormat="1" applyFont="1" applyFill="1" applyBorder="1" applyAlignment="1" applyProtection="1">
      <alignment vertical="center"/>
      <protection locked="0"/>
    </xf>
    <xf numFmtId="4" fontId="6" fillId="0" borderId="61" xfId="0" applyNumberFormat="1" applyFont="1" applyFill="1" applyBorder="1" applyAlignment="1" applyProtection="1">
      <alignment vertical="center"/>
      <protection locked="0"/>
    </xf>
    <xf numFmtId="4" fontId="9" fillId="0" borderId="99" xfId="0" applyNumberFormat="1" applyFont="1" applyFill="1" applyBorder="1" applyAlignment="1" applyProtection="1">
      <alignment vertical="center" wrapText="1"/>
      <protection locked="0"/>
    </xf>
    <xf numFmtId="4" fontId="9" fillId="0" borderId="111" xfId="0" applyNumberFormat="1" applyFont="1" applyFill="1" applyBorder="1" applyAlignment="1" applyProtection="1">
      <alignment vertical="center" wrapText="1"/>
      <protection locked="0"/>
    </xf>
    <xf numFmtId="4" fontId="9" fillId="0" borderId="65" xfId="0" applyNumberFormat="1" applyFont="1" applyFill="1" applyBorder="1" applyAlignment="1" applyProtection="1">
      <alignment vertical="center" wrapText="1"/>
      <protection locked="0"/>
    </xf>
    <xf numFmtId="4" fontId="9" fillId="0" borderId="5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17" fillId="0" borderId="20" xfId="0" applyNumberFormat="1" applyFont="1" applyBorder="1" applyAlignment="1" applyProtection="1">
      <alignment horizontal="left" vertical="center" wrapText="1"/>
      <protection locked="0"/>
    </xf>
    <xf numFmtId="4" fontId="17" fillId="0" borderId="29" xfId="0" applyNumberFormat="1" applyFont="1" applyBorder="1" applyAlignment="1" applyProtection="1">
      <alignment horizontal="left" vertical="center" wrapText="1"/>
      <protection locked="0"/>
    </xf>
    <xf numFmtId="4" fontId="17" fillId="0" borderId="21" xfId="0" applyNumberFormat="1" applyFont="1" applyBorder="1" applyAlignment="1" applyProtection="1">
      <alignment horizontal="left" vertical="center" wrapText="1"/>
      <protection locked="0"/>
    </xf>
    <xf numFmtId="4" fontId="17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58" xfId="0" applyNumberFormat="1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 applyProtection="1">
      <alignment vertical="center"/>
    </xf>
    <xf numFmtId="4" fontId="23" fillId="0" borderId="98" xfId="0" applyNumberFormat="1" applyFont="1" applyFill="1" applyBorder="1" applyAlignment="1" applyProtection="1">
      <alignment horizontal="left" vertical="center" indent="1"/>
      <protection locked="0"/>
    </xf>
    <xf numFmtId="4" fontId="23" fillId="0" borderId="99" xfId="0" applyNumberFormat="1" applyFont="1" applyFill="1" applyBorder="1" applyAlignment="1" applyProtection="1">
      <alignment horizontal="left" vertical="center" indent="1"/>
      <protection locked="0"/>
    </xf>
    <xf numFmtId="4" fontId="23" fillId="0" borderId="61" xfId="0" applyNumberFormat="1" applyFont="1" applyFill="1" applyBorder="1" applyAlignment="1" applyProtection="1">
      <alignment horizontal="left" vertical="center" indent="1"/>
      <protection locked="0"/>
    </xf>
    <xf numFmtId="4" fontId="23" fillId="0" borderId="0" xfId="0" applyNumberFormat="1" applyFont="1" applyFill="1" applyBorder="1" applyAlignment="1" applyProtection="1">
      <alignment vertical="center"/>
      <protection locked="0"/>
    </xf>
    <xf numFmtId="4" fontId="9" fillId="0" borderId="60" xfId="0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horizontal="left" vertical="center" indent="1"/>
      <protection locked="0"/>
    </xf>
    <xf numFmtId="4" fontId="23" fillId="0" borderId="0" xfId="0" applyNumberFormat="1" applyFont="1" applyBorder="1" applyAlignment="1" applyProtection="1">
      <alignment vertical="center"/>
      <protection locked="0"/>
    </xf>
    <xf numFmtId="4" fontId="23" fillId="0" borderId="98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100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101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108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111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65" xfId="0" applyNumberFormat="1" applyFont="1" applyFill="1" applyBorder="1" applyAlignment="1" applyProtection="1">
      <alignment horizontal="left" vertical="center" wrapText="1" indent="1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" fontId="8" fillId="4" borderId="29" xfId="0" applyNumberFormat="1" applyFont="1" applyFill="1" applyBorder="1" applyAlignment="1" applyProtection="1">
      <alignment vertical="center"/>
      <protection locked="0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Alignment="1">
      <alignment horizontal="left" vertical="center" wrapText="1"/>
    </xf>
    <xf numFmtId="4" fontId="8" fillId="4" borderId="2" xfId="0" applyNumberFormat="1" applyFont="1" applyFill="1" applyBorder="1" applyAlignment="1" applyProtection="1">
      <alignment horizontal="center" vertical="center"/>
      <protection locked="0"/>
    </xf>
    <xf numFmtId="4" fontId="8" fillId="4" borderId="4" xfId="0" applyNumberFormat="1" applyFont="1" applyFill="1" applyBorder="1" applyAlignment="1" applyProtection="1">
      <alignment horizontal="center" vertical="center"/>
      <protection locked="0"/>
    </xf>
    <xf numFmtId="4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4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4" fontId="9" fillId="0" borderId="55" xfId="0" applyNumberFormat="1" applyFont="1" applyBorder="1" applyAlignment="1" applyProtection="1">
      <alignment horizontal="left" vertical="center"/>
      <protection locked="0"/>
    </xf>
    <xf numFmtId="4" fontId="9" fillId="0" borderId="57" xfId="0" applyNumberFormat="1" applyFont="1" applyBorder="1" applyAlignment="1" applyProtection="1">
      <alignment horizontal="left" vertical="center"/>
      <protection locked="0"/>
    </xf>
    <xf numFmtId="4" fontId="9" fillId="0" borderId="108" xfId="0" applyNumberFormat="1" applyFont="1" applyFill="1" applyBorder="1" applyAlignment="1" applyProtection="1">
      <alignment horizontal="left" vertical="center"/>
      <protection locked="0"/>
    </xf>
    <xf numFmtId="4" fontId="9" fillId="0" borderId="65" xfId="0" applyNumberFormat="1" applyFont="1" applyFill="1" applyBorder="1" applyAlignment="1" applyProtection="1">
      <alignment horizontal="left" vertical="center"/>
      <protection locked="0"/>
    </xf>
    <xf numFmtId="4" fontId="8" fillId="6" borderId="20" xfId="0" applyNumberFormat="1" applyFont="1" applyFill="1" applyBorder="1" applyAlignment="1" applyProtection="1">
      <alignment horizontal="left" vertical="center"/>
      <protection locked="0"/>
    </xf>
    <xf numFmtId="4" fontId="8" fillId="6" borderId="21" xfId="0" applyNumberFormat="1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4" fontId="18" fillId="0" borderId="55" xfId="0" applyNumberFormat="1" applyFont="1" applyFill="1" applyBorder="1" applyAlignment="1" applyProtection="1">
      <alignment vertical="center" wrapText="1"/>
      <protection locked="0"/>
    </xf>
    <xf numFmtId="4" fontId="18" fillId="0" borderId="56" xfId="0" applyNumberFormat="1" applyFont="1" applyFill="1" applyBorder="1" applyAlignment="1" applyProtection="1">
      <alignment vertical="center" wrapText="1"/>
      <protection locked="0"/>
    </xf>
    <xf numFmtId="4" fontId="18" fillId="0" borderId="57" xfId="0" applyNumberFormat="1" applyFont="1" applyFill="1" applyBorder="1" applyAlignment="1" applyProtection="1">
      <alignment vertical="center" wrapText="1"/>
      <protection locked="0"/>
    </xf>
    <xf numFmtId="4" fontId="23" fillId="0" borderId="97" xfId="0" applyNumberFormat="1" applyFont="1" applyBorder="1" applyAlignment="1" applyProtection="1">
      <alignment vertical="center"/>
      <protection locked="0"/>
    </xf>
    <xf numFmtId="4" fontId="18" fillId="0" borderId="98" xfId="0" applyNumberFormat="1" applyFont="1" applyFill="1" applyBorder="1" applyAlignment="1" applyProtection="1">
      <alignment vertical="center" wrapText="1"/>
      <protection locked="0"/>
    </xf>
    <xf numFmtId="4" fontId="18" fillId="0" borderId="99" xfId="0" applyNumberFormat="1" applyFont="1" applyFill="1" applyBorder="1" applyAlignment="1" applyProtection="1">
      <alignment vertical="center" wrapText="1"/>
      <protection locked="0"/>
    </xf>
    <xf numFmtId="4" fontId="18" fillId="0" borderId="61" xfId="0" applyNumberFormat="1" applyFont="1" applyFill="1" applyBorder="1" applyAlignment="1" applyProtection="1">
      <alignment vertical="center" wrapText="1"/>
      <protection locked="0"/>
    </xf>
    <xf numFmtId="4" fontId="18" fillId="0" borderId="108" xfId="0" applyNumberFormat="1" applyFont="1" applyFill="1" applyBorder="1" applyAlignment="1" applyProtection="1">
      <alignment vertical="center" wrapText="1"/>
      <protection locked="0"/>
    </xf>
    <xf numFmtId="4" fontId="18" fillId="0" borderId="111" xfId="0" applyNumberFormat="1" applyFont="1" applyFill="1" applyBorder="1" applyAlignment="1" applyProtection="1">
      <alignment vertical="center" wrapText="1"/>
      <protection locked="0"/>
    </xf>
    <xf numFmtId="4" fontId="18" fillId="0" borderId="65" xfId="0" applyNumberFormat="1" applyFont="1" applyFill="1" applyBorder="1" applyAlignment="1" applyProtection="1">
      <alignment vertical="center" wrapText="1"/>
      <protection locked="0"/>
    </xf>
    <xf numFmtId="4" fontId="23" fillId="0" borderId="64" xfId="0" applyNumberFormat="1" applyFont="1" applyBorder="1" applyAlignment="1" applyProtection="1">
      <alignment vertical="center"/>
      <protection locked="0"/>
    </xf>
    <xf numFmtId="4" fontId="17" fillId="0" borderId="20" xfId="0" applyNumberFormat="1" applyFont="1" applyFill="1" applyBorder="1" applyAlignment="1" applyProtection="1">
      <alignment vertical="center"/>
      <protection locked="0"/>
    </xf>
    <xf numFmtId="4" fontId="17" fillId="0" borderId="29" xfId="0" applyNumberFormat="1" applyFont="1" applyFill="1" applyBorder="1" applyAlignment="1" applyProtection="1">
      <alignment vertical="center"/>
      <protection locked="0"/>
    </xf>
    <xf numFmtId="4" fontId="17" fillId="0" borderId="21" xfId="0" applyNumberFormat="1" applyFont="1" applyFill="1" applyBorder="1" applyAlignment="1" applyProtection="1">
      <alignment vertical="center"/>
      <protection locked="0"/>
    </xf>
    <xf numFmtId="4" fontId="26" fillId="0" borderId="8" xfId="0" applyNumberFormat="1" applyFont="1" applyBorder="1" applyAlignment="1" applyProtection="1">
      <alignment vertical="center"/>
      <protection locked="0"/>
    </xf>
    <xf numFmtId="4" fontId="17" fillId="0" borderId="9" xfId="0" applyNumberFormat="1" applyFont="1" applyFill="1" applyBorder="1" applyAlignment="1" applyProtection="1">
      <alignment vertical="center"/>
      <protection locked="0"/>
    </xf>
    <xf numFmtId="4" fontId="17" fillId="0" borderId="10" xfId="0" applyNumberFormat="1" applyFont="1" applyFill="1" applyBorder="1" applyAlignment="1" applyProtection="1">
      <alignment vertical="center"/>
      <protection locked="0"/>
    </xf>
    <xf numFmtId="4" fontId="17" fillId="0" borderId="11" xfId="0" applyNumberFormat="1" applyFont="1" applyFill="1" applyBorder="1" applyAlignment="1" applyProtection="1">
      <alignment vertical="center"/>
      <protection locked="0"/>
    </xf>
    <xf numFmtId="4" fontId="18" fillId="0" borderId="55" xfId="0" applyNumberFormat="1" applyFont="1" applyFill="1" applyBorder="1" applyAlignment="1" applyProtection="1">
      <alignment vertical="center"/>
      <protection locked="0"/>
    </xf>
    <xf numFmtId="4" fontId="18" fillId="0" borderId="56" xfId="0" applyNumberFormat="1" applyFont="1" applyFill="1" applyBorder="1" applyAlignment="1" applyProtection="1">
      <alignment vertical="center"/>
      <protection locked="0"/>
    </xf>
    <xf numFmtId="4" fontId="18" fillId="0" borderId="57" xfId="0" applyNumberFormat="1" applyFont="1" applyFill="1" applyBorder="1" applyAlignment="1" applyProtection="1">
      <alignment vertical="center"/>
      <protection locked="0"/>
    </xf>
    <xf numFmtId="4" fontId="23" fillId="0" borderId="97" xfId="0" applyNumberFormat="1" applyFont="1" applyFill="1" applyBorder="1" applyAlignment="1" applyProtection="1">
      <alignment vertical="center"/>
    </xf>
    <xf numFmtId="4" fontId="18" fillId="0" borderId="98" xfId="0" applyNumberFormat="1" applyFont="1" applyFill="1" applyBorder="1" applyAlignment="1" applyProtection="1">
      <alignment vertical="center"/>
      <protection locked="0"/>
    </xf>
    <xf numFmtId="4" fontId="18" fillId="0" borderId="99" xfId="0" applyNumberFormat="1" applyFont="1" applyFill="1" applyBorder="1" applyAlignment="1" applyProtection="1">
      <alignment vertical="center"/>
      <protection locked="0"/>
    </xf>
    <xf numFmtId="4" fontId="18" fillId="0" borderId="61" xfId="0" applyNumberFormat="1" applyFont="1" applyFill="1" applyBorder="1" applyAlignment="1" applyProtection="1">
      <alignment vertical="center"/>
      <protection locked="0"/>
    </xf>
    <xf numFmtId="4" fontId="23" fillId="0" borderId="60" xfId="0" applyNumberFormat="1" applyFont="1" applyFill="1" applyBorder="1" applyAlignment="1" applyProtection="1">
      <alignment vertical="center"/>
    </xf>
    <xf numFmtId="4" fontId="23" fillId="0" borderId="64" xfId="0" applyNumberFormat="1" applyFont="1" applyFill="1" applyBorder="1" applyAlignment="1" applyProtection="1">
      <alignment vertical="center"/>
    </xf>
    <xf numFmtId="4" fontId="17" fillId="4" borderId="20" xfId="0" applyNumberFormat="1" applyFont="1" applyFill="1" applyBorder="1" applyAlignment="1" applyProtection="1">
      <alignment horizontal="left" vertical="center"/>
      <protection locked="0"/>
    </xf>
    <xf numFmtId="4" fontId="17" fillId="4" borderId="29" xfId="0" applyNumberFormat="1" applyFont="1" applyFill="1" applyBorder="1" applyAlignment="1" applyProtection="1">
      <alignment horizontal="left" vertical="center"/>
      <protection locked="0"/>
    </xf>
    <xf numFmtId="4" fontId="17" fillId="4" borderId="21" xfId="0" applyNumberFormat="1" applyFont="1" applyFill="1" applyBorder="1" applyAlignment="1" applyProtection="1">
      <alignment horizontal="left" vertical="center"/>
      <protection locked="0"/>
    </xf>
    <xf numFmtId="4" fontId="17" fillId="0" borderId="57" xfId="0" applyNumberFormat="1" applyFont="1" applyFill="1" applyBorder="1" applyAlignment="1" applyProtection="1">
      <alignment vertical="center" wrapText="1"/>
      <protection locked="0"/>
    </xf>
    <xf numFmtId="4" fontId="8" fillId="0" borderId="97" xfId="0" applyNumberFormat="1" applyFont="1" applyBorder="1" applyAlignment="1" applyProtection="1">
      <alignment vertical="center"/>
      <protection locked="0"/>
    </xf>
    <xf numFmtId="4" fontId="8" fillId="0" borderId="100" xfId="0" applyNumberFormat="1" applyFont="1" applyFill="1" applyBorder="1" applyAlignment="1" applyProtection="1">
      <alignment vertical="center" wrapText="1"/>
      <protection locked="0"/>
    </xf>
    <xf numFmtId="4" fontId="8" fillId="0" borderId="101" xfId="0" applyNumberFormat="1" applyFont="1" applyFill="1" applyBorder="1" applyAlignment="1" applyProtection="1">
      <alignment vertical="center" wrapText="1"/>
      <protection locked="0"/>
    </xf>
    <xf numFmtId="4" fontId="8" fillId="0" borderId="59" xfId="0" applyNumberFormat="1" applyFont="1" applyFill="1" applyBorder="1" applyAlignment="1" applyProtection="1">
      <alignment vertical="center" wrapText="1"/>
      <protection locked="0"/>
    </xf>
    <xf numFmtId="4" fontId="8" fillId="0" borderId="58" xfId="0" applyNumberFormat="1" applyFont="1" applyFill="1" applyBorder="1" applyAlignment="1" applyProtection="1">
      <alignment vertical="center"/>
    </xf>
    <xf numFmtId="4" fontId="23" fillId="0" borderId="99" xfId="0" applyNumberFormat="1" applyFont="1" applyFill="1" applyBorder="1" applyAlignment="1" applyProtection="1">
      <alignment vertical="center" wrapText="1"/>
      <protection locked="0"/>
    </xf>
    <xf numFmtId="4" fontId="8" fillId="0" borderId="99" xfId="0" applyNumberFormat="1" applyFont="1" applyFill="1" applyBorder="1" applyAlignment="1" applyProtection="1">
      <alignment vertical="center"/>
      <protection locked="0"/>
    </xf>
    <xf numFmtId="4" fontId="8" fillId="0" borderId="60" xfId="0" applyNumberFormat="1" applyFont="1" applyFill="1" applyBorder="1" applyAlignment="1" applyProtection="1">
      <alignment vertical="center"/>
    </xf>
    <xf numFmtId="4" fontId="9" fillId="0" borderId="60" xfId="0" applyNumberFormat="1" applyFont="1" applyBorder="1" applyAlignment="1" applyProtection="1">
      <alignment vertical="center"/>
      <protection locked="0"/>
    </xf>
    <xf numFmtId="4" fontId="23" fillId="0" borderId="98" xfId="0" applyNumberFormat="1" applyFont="1" applyFill="1" applyBorder="1" applyAlignment="1">
      <alignment vertical="center" wrapText="1"/>
    </xf>
    <xf numFmtId="4" fontId="23" fillId="0" borderId="99" xfId="0" applyNumberFormat="1" applyFont="1" applyFill="1" applyBorder="1" applyAlignment="1">
      <alignment vertical="center" wrapText="1"/>
    </xf>
    <xf numFmtId="4" fontId="23" fillId="0" borderId="61" xfId="0" applyNumberFormat="1" applyFont="1" applyFill="1" applyBorder="1" applyAlignment="1">
      <alignment vertical="center" wrapText="1"/>
    </xf>
    <xf numFmtId="4" fontId="23" fillId="0" borderId="108" xfId="0" applyNumberFormat="1" applyFont="1" applyFill="1" applyBorder="1" applyAlignment="1" applyProtection="1">
      <alignment vertical="center" wrapText="1"/>
      <protection locked="0"/>
    </xf>
    <xf numFmtId="4" fontId="23" fillId="0" borderId="111" xfId="0" applyNumberFormat="1" applyFont="1" applyFill="1" applyBorder="1" applyAlignment="1" applyProtection="1">
      <alignment vertical="center" wrapText="1"/>
      <protection locked="0"/>
    </xf>
    <xf numFmtId="4" fontId="23" fillId="0" borderId="65" xfId="0" applyNumberFormat="1" applyFont="1" applyFill="1" applyBorder="1" applyAlignment="1" applyProtection="1">
      <alignment vertical="center" wrapText="1"/>
      <protection locked="0"/>
    </xf>
    <xf numFmtId="4" fontId="8" fillId="4" borderId="29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left"/>
    </xf>
    <xf numFmtId="0" fontId="11" fillId="0" borderId="0" xfId="0" applyFont="1" applyAlignment="1"/>
    <xf numFmtId="4" fontId="17" fillId="4" borderId="20" xfId="0" applyNumberFormat="1" applyFont="1" applyFill="1" applyBorder="1" applyAlignment="1" applyProtection="1">
      <alignment horizontal="center" vertical="center"/>
      <protection locked="0"/>
    </xf>
    <xf numFmtId="4" fontId="17" fillId="4" borderId="29" xfId="0" applyNumberFormat="1" applyFont="1" applyFill="1" applyBorder="1" applyAlignment="1" applyProtection="1">
      <alignment horizontal="center" vertical="center"/>
      <protection locked="0"/>
    </xf>
    <xf numFmtId="4" fontId="17" fillId="4" borderId="21" xfId="0" applyNumberFormat="1" applyFont="1" applyFill="1" applyBorder="1" applyAlignment="1" applyProtection="1">
      <alignment horizontal="center" vertical="center"/>
      <protection locked="0"/>
    </xf>
    <xf numFmtId="4" fontId="17" fillId="0" borderId="9" xfId="0" applyNumberFormat="1" applyFont="1" applyFill="1" applyBorder="1" applyAlignment="1" applyProtection="1">
      <alignment vertical="center" wrapText="1"/>
      <protection locked="0"/>
    </xf>
    <xf numFmtId="4" fontId="17" fillId="0" borderId="10" xfId="0" applyNumberFormat="1" applyFont="1" applyFill="1" applyBorder="1" applyAlignment="1" applyProtection="1">
      <alignment vertical="center" wrapText="1"/>
      <protection locked="0"/>
    </xf>
    <xf numFmtId="4" fontId="17" fillId="0" borderId="11" xfId="0" applyNumberFormat="1" applyFont="1" applyFill="1" applyBorder="1" applyAlignment="1" applyProtection="1">
      <alignment vertical="center" wrapText="1"/>
      <protection locked="0"/>
    </xf>
    <xf numFmtId="4" fontId="18" fillId="0" borderId="6" xfId="0" applyNumberFormat="1" applyFont="1" applyFill="1" applyBorder="1" applyAlignment="1" applyProtection="1">
      <alignment vertical="center" wrapText="1"/>
      <protection locked="0"/>
    </xf>
    <xf numFmtId="4" fontId="18" fillId="0" borderId="0" xfId="0" applyNumberFormat="1" applyFont="1" applyFill="1" applyBorder="1" applyAlignment="1" applyProtection="1">
      <alignment vertical="center" wrapText="1"/>
      <protection locked="0"/>
    </xf>
    <xf numFmtId="4" fontId="18" fillId="0" borderId="7" xfId="0" applyNumberFormat="1" applyFont="1" applyFill="1" applyBorder="1" applyAlignment="1" applyProtection="1">
      <alignment vertical="center" wrapText="1"/>
      <protection locked="0"/>
    </xf>
    <xf numFmtId="4" fontId="18" fillId="0" borderId="100" xfId="0" applyNumberFormat="1" applyFont="1" applyFill="1" applyBorder="1" applyAlignment="1" applyProtection="1">
      <alignment vertical="center"/>
      <protection locked="0"/>
    </xf>
    <xf numFmtId="4" fontId="18" fillId="0" borderId="101" xfId="0" applyNumberFormat="1" applyFont="1" applyFill="1" applyBorder="1" applyAlignment="1" applyProtection="1">
      <alignment vertical="center"/>
      <protection locked="0"/>
    </xf>
    <xf numFmtId="4" fontId="18" fillId="0" borderId="59" xfId="0" applyNumberFormat="1" applyFont="1" applyFill="1" applyBorder="1" applyAlignment="1" applyProtection="1">
      <alignment vertical="center"/>
      <protection locked="0"/>
    </xf>
    <xf numFmtId="4" fontId="23" fillId="0" borderId="108" xfId="0" applyNumberFormat="1" applyFont="1" applyFill="1" applyBorder="1" applyAlignment="1" applyProtection="1">
      <alignment vertical="center"/>
      <protection locked="0"/>
    </xf>
    <xf numFmtId="4" fontId="23" fillId="0" borderId="111" xfId="0" applyNumberFormat="1" applyFont="1" applyFill="1" applyBorder="1" applyAlignment="1" applyProtection="1">
      <alignment vertical="center"/>
      <protection locked="0"/>
    </xf>
    <xf numFmtId="4" fontId="23" fillId="0" borderId="65" xfId="0" applyNumberFormat="1" applyFont="1" applyFill="1" applyBorder="1" applyAlignment="1" applyProtection="1">
      <alignment vertical="center"/>
      <protection locked="0"/>
    </xf>
    <xf numFmtId="4" fontId="9" fillId="0" borderId="64" xfId="0" applyNumberFormat="1" applyFont="1" applyBorder="1" applyAlignment="1" applyProtection="1">
      <alignment vertical="center"/>
      <protection locked="0"/>
    </xf>
    <xf numFmtId="4" fontId="8" fillId="6" borderId="29" xfId="0" applyNumberFormat="1" applyFont="1" applyFill="1" applyBorder="1" applyAlignment="1" applyProtection="1">
      <alignment horizontal="left" vertical="center"/>
      <protection locked="0"/>
    </xf>
    <xf numFmtId="4" fontId="18" fillId="0" borderId="6" xfId="0" applyNumberFormat="1" applyFont="1" applyFill="1" applyBorder="1" applyAlignment="1" applyProtection="1">
      <alignment vertical="center"/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0" borderId="7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4" fontId="8" fillId="6" borderId="2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4" fontId="8" fillId="6" borderId="119" xfId="0" applyNumberFormat="1" applyFont="1" applyFill="1" applyBorder="1" applyAlignment="1">
      <alignment horizontal="center" vertical="center" wrapText="1"/>
    </xf>
    <xf numFmtId="4" fontId="9" fillId="6" borderId="120" xfId="0" applyNumberFormat="1" applyFont="1" applyFill="1" applyBorder="1" applyAlignment="1">
      <alignment horizontal="center" vertical="center"/>
    </xf>
    <xf numFmtId="4" fontId="9" fillId="6" borderId="104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8" fillId="6" borderId="11" xfId="0" applyNumberFormat="1" applyFont="1" applyFill="1" applyBorder="1" applyAlignment="1">
      <alignment horizontal="center" vertical="center"/>
    </xf>
    <xf numFmtId="4" fontId="8" fillId="6" borderId="20" xfId="0" applyNumberFormat="1" applyFont="1" applyFill="1" applyBorder="1" applyAlignment="1">
      <alignment horizontal="center" vertical="center"/>
    </xf>
    <xf numFmtId="4" fontId="8" fillId="6" borderId="12" xfId="0" applyNumberFormat="1" applyFont="1" applyFill="1" applyBorder="1" applyAlignment="1">
      <alignment horizontal="center" vertical="center"/>
    </xf>
    <xf numFmtId="4" fontId="8" fillId="6" borderId="29" xfId="0" applyNumberFormat="1" applyFont="1" applyFill="1" applyBorder="1" applyAlignment="1">
      <alignment horizontal="center" vertical="center"/>
    </xf>
    <xf numFmtId="4" fontId="9" fillId="0" borderId="55" xfId="0" applyNumberFormat="1" applyFont="1" applyFill="1" applyBorder="1" applyAlignment="1">
      <alignment vertical="center" wrapText="1"/>
    </xf>
    <xf numFmtId="4" fontId="9" fillId="0" borderId="57" xfId="0" applyNumberFormat="1" applyFont="1" applyFill="1" applyBorder="1" applyAlignment="1">
      <alignment vertical="center" wrapText="1"/>
    </xf>
    <xf numFmtId="4" fontId="9" fillId="0" borderId="55" xfId="0" applyNumberFormat="1" applyFont="1" applyFill="1" applyBorder="1" applyAlignment="1" applyProtection="1">
      <alignment vertical="center"/>
      <protection locked="0"/>
    </xf>
    <xf numFmtId="4" fontId="9" fillId="0" borderId="100" xfId="0" applyNumberFormat="1" applyFont="1" applyFill="1" applyBorder="1" applyAlignment="1">
      <alignment horizontal="left" vertical="center" wrapText="1" indent="1"/>
    </xf>
    <xf numFmtId="4" fontId="9" fillId="0" borderId="59" xfId="0" applyNumberFormat="1" applyFont="1" applyFill="1" applyBorder="1" applyAlignment="1">
      <alignment horizontal="left" vertical="center" wrapText="1" indent="1"/>
    </xf>
    <xf numFmtId="4" fontId="9" fillId="0" borderId="100" xfId="0" applyNumberFormat="1" applyFont="1" applyFill="1" applyBorder="1" applyAlignment="1" applyProtection="1">
      <alignment vertical="center"/>
      <protection locked="0"/>
    </xf>
    <xf numFmtId="4" fontId="9" fillId="0" borderId="98" xfId="0" applyNumberFormat="1" applyFont="1" applyFill="1" applyBorder="1" applyAlignment="1">
      <alignment horizontal="left" vertical="center" wrapText="1" indent="1"/>
    </xf>
    <xf numFmtId="4" fontId="9" fillId="0" borderId="61" xfId="0" applyNumberFormat="1" applyFont="1" applyFill="1" applyBorder="1" applyAlignment="1">
      <alignment horizontal="left" vertical="center" wrapText="1" indent="1"/>
    </xf>
    <xf numFmtId="4" fontId="9" fillId="0" borderId="98" xfId="0" applyNumberFormat="1" applyFont="1" applyFill="1" applyBorder="1" applyAlignment="1">
      <alignment horizontal="left" vertical="center" wrapText="1"/>
    </xf>
    <xf numFmtId="4" fontId="9" fillId="0" borderId="61" xfId="0" applyNumberFormat="1" applyFont="1" applyFill="1" applyBorder="1" applyAlignment="1">
      <alignment horizontal="left" vertical="center" wrapText="1"/>
    </xf>
    <xf numFmtId="4" fontId="9" fillId="0" borderId="108" xfId="0" applyNumberFormat="1" applyFont="1" applyFill="1" applyBorder="1" applyAlignment="1">
      <alignment horizontal="left" vertical="center" wrapText="1"/>
    </xf>
    <xf numFmtId="4" fontId="9" fillId="0" borderId="65" xfId="0" applyNumberFormat="1" applyFont="1" applyFill="1" applyBorder="1" applyAlignment="1">
      <alignment horizontal="left" vertical="center" wrapText="1"/>
    </xf>
    <xf numFmtId="4" fontId="8" fillId="6" borderId="20" xfId="0" applyNumberFormat="1" applyFont="1" applyFill="1" applyBorder="1" applyAlignment="1">
      <alignment vertical="center"/>
    </xf>
    <xf numFmtId="4" fontId="8" fillId="6" borderId="21" xfId="0" applyNumberFormat="1" applyFont="1" applyFill="1" applyBorder="1" applyAlignment="1">
      <alignment vertical="center"/>
    </xf>
    <xf numFmtId="4" fontId="8" fillId="4" borderId="2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 wrapText="1"/>
    </xf>
    <xf numFmtId="4" fontId="8" fillId="6" borderId="21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vertical="center" wrapText="1"/>
    </xf>
    <xf numFmtId="3" fontId="9" fillId="0" borderId="77" xfId="0" applyNumberFormat="1" applyFont="1" applyBorder="1" applyAlignment="1">
      <alignment vertical="center" wrapText="1"/>
    </xf>
    <xf numFmtId="3" fontId="9" fillId="0" borderId="12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4">
    <cellStyle name="Normal 3" xfId="2"/>
    <cellStyle name="Normalny" xfId="0" builtinId="0"/>
    <cellStyle name="Normalny 2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F_UM_2022_Kor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zapska\Downloads\n39_druk_konsolidacja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2"/>
      <sheetName val="RZiS 31.12.2022"/>
      <sheetName val="ZZwFJ 31.12.2022"/>
      <sheetName val="II.Dodatk_info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dopłaty"/>
      <sheetName val="Nota II.2.5.g"/>
      <sheetName val="Nota II.3.1"/>
      <sheetName val="Nota II.3.2"/>
      <sheetName val="II.3.3."/>
    </sheetNames>
    <sheetDataSet>
      <sheetData sheetId="0">
        <row r="9">
          <cell r="F9">
            <v>2217296800.8400002</v>
          </cell>
        </row>
        <row r="10">
          <cell r="E10">
            <v>14014831982.35</v>
          </cell>
          <cell r="F10">
            <v>14656227296.540001</v>
          </cell>
        </row>
      </sheetData>
      <sheetData sheetId="1">
        <row r="45">
          <cell r="D45">
            <v>14656227296.539999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1">
          <cell r="B41">
            <v>8502608896.2700005</v>
          </cell>
          <cell r="C41">
            <v>199732285.34</v>
          </cell>
          <cell r="D41">
            <v>4073263850.54</v>
          </cell>
          <cell r="E41">
            <v>257488999.28</v>
          </cell>
          <cell r="F41">
            <v>6448741.8099999996</v>
          </cell>
          <cell r="G41">
            <v>236671753.30000001</v>
          </cell>
          <cell r="H41">
            <v>1478675051.73</v>
          </cell>
        </row>
        <row r="43">
          <cell r="B43">
            <v>309722397.94</v>
          </cell>
          <cell r="C43">
            <v>2709942.42</v>
          </cell>
          <cell r="D43">
            <v>29631043.329999998</v>
          </cell>
          <cell r="E43">
            <v>872583.7</v>
          </cell>
          <cell r="F43">
            <v>1168.29</v>
          </cell>
          <cell r="G43">
            <v>13097070.800000001</v>
          </cell>
          <cell r="H43">
            <v>207937271</v>
          </cell>
        </row>
        <row r="44">
          <cell r="B44">
            <v>358468348.85000002</v>
          </cell>
          <cell r="C44">
            <v>6242917.2400000002</v>
          </cell>
          <cell r="D44">
            <v>100271849.90000001</v>
          </cell>
          <cell r="E44">
            <v>829612.51</v>
          </cell>
          <cell r="F44">
            <v>130414</v>
          </cell>
          <cell r="G44">
            <v>3268642.24</v>
          </cell>
          <cell r="H44">
            <v>199299611.38</v>
          </cell>
        </row>
        <row r="45">
          <cell r="B45">
            <v>7949917.8499999996</v>
          </cell>
          <cell r="C45">
            <v>0</v>
          </cell>
          <cell r="D45">
            <v>58382894.399999999</v>
          </cell>
          <cell r="E45">
            <v>12871411.359999999</v>
          </cell>
          <cell r="F45">
            <v>0</v>
          </cell>
          <cell r="G45">
            <v>-4436835.09</v>
          </cell>
          <cell r="H45">
            <v>-74767388.519999996</v>
          </cell>
        </row>
        <row r="47">
          <cell r="B47">
            <v>12656446.640000001</v>
          </cell>
          <cell r="C47">
            <v>34075.26</v>
          </cell>
          <cell r="D47">
            <v>11675009.720000001</v>
          </cell>
          <cell r="E47">
            <v>16067191.68</v>
          </cell>
          <cell r="F47">
            <v>239828.78</v>
          </cell>
          <cell r="G47">
            <v>5271623.5999999996</v>
          </cell>
          <cell r="H47">
            <v>0</v>
          </cell>
        </row>
        <row r="48">
          <cell r="B48">
            <v>223787310.13999999</v>
          </cell>
          <cell r="C48">
            <v>15880235.449999999</v>
          </cell>
          <cell r="D48">
            <v>46140842.969999999</v>
          </cell>
          <cell r="E48">
            <v>9848728.0199999996</v>
          </cell>
          <cell r="F48">
            <v>121810</v>
          </cell>
          <cell r="G48">
            <v>5607726.9900000002</v>
          </cell>
          <cell r="H48">
            <v>410595781.56999999</v>
          </cell>
        </row>
        <row r="51">
          <cell r="B51">
            <v>49783746.93</v>
          </cell>
          <cell r="C51">
            <v>0</v>
          </cell>
          <cell r="D51">
            <v>1826487691.4300001</v>
          </cell>
          <cell r="E51">
            <v>214087163.34999999</v>
          </cell>
          <cell r="F51">
            <v>5757106.1600000001</v>
          </cell>
          <cell r="G51">
            <v>195315919.00999999</v>
          </cell>
          <cell r="H51">
            <v>0</v>
          </cell>
        </row>
        <row r="53">
          <cell r="B53">
            <v>4805486.08</v>
          </cell>
          <cell r="C53">
            <v>0</v>
          </cell>
          <cell r="D53">
            <v>132297599.45</v>
          </cell>
          <cell r="E53">
            <v>15963870.34</v>
          </cell>
          <cell r="F53">
            <v>205272.75</v>
          </cell>
          <cell r="G53">
            <v>5449834.9400000004</v>
          </cell>
          <cell r="H53">
            <v>0</v>
          </cell>
        </row>
        <row r="54">
          <cell r="B54">
            <v>0</v>
          </cell>
          <cell r="C54">
            <v>0</v>
          </cell>
          <cell r="D54">
            <v>31227608.059999999</v>
          </cell>
          <cell r="E54">
            <v>1104612.8500000001</v>
          </cell>
          <cell r="F54">
            <v>130414</v>
          </cell>
          <cell r="G54">
            <v>15199135.52</v>
          </cell>
          <cell r="H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7">
          <cell r="B57">
            <v>0</v>
          </cell>
          <cell r="C57">
            <v>0</v>
          </cell>
          <cell r="D57">
            <v>3101845.39</v>
          </cell>
          <cell r="E57">
            <v>23561660.93</v>
          </cell>
          <cell r="F57">
            <v>239828.78</v>
          </cell>
          <cell r="G57">
            <v>6737858.6900000004</v>
          </cell>
          <cell r="H57">
            <v>0</v>
          </cell>
        </row>
        <row r="58">
          <cell r="B58">
            <v>1909160.48</v>
          </cell>
          <cell r="C58">
            <v>0</v>
          </cell>
          <cell r="D58">
            <v>12665284.140000001</v>
          </cell>
          <cell r="E58">
            <v>1416084.53</v>
          </cell>
          <cell r="F58">
            <v>121810</v>
          </cell>
          <cell r="G58">
            <v>4235213.91</v>
          </cell>
          <cell r="H58">
            <v>0</v>
          </cell>
        </row>
        <row r="61">
          <cell r="B61">
            <v>22764152.989999998</v>
          </cell>
          <cell r="C61">
            <v>22764152.989999998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4489130.25</v>
          </cell>
        </row>
        <row r="62">
          <cell r="B62">
            <v>195287.41</v>
          </cell>
          <cell r="C62">
            <v>195287.41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5420680.3899999997</v>
          </cell>
          <cell r="C63">
            <v>5420680.3899999997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92496.77</v>
          </cell>
        </row>
      </sheetData>
      <sheetData sheetId="13">
        <row r="23">
          <cell r="B23">
            <v>0</v>
          </cell>
        </row>
        <row r="37">
          <cell r="B37">
            <v>191478846.38</v>
          </cell>
        </row>
        <row r="39">
          <cell r="B39">
            <v>12969073.380000001</v>
          </cell>
        </row>
        <row r="40">
          <cell r="B40">
            <v>2876515.33</v>
          </cell>
        </row>
        <row r="42">
          <cell r="B42">
            <v>924960.8</v>
          </cell>
        </row>
        <row r="43">
          <cell r="B43">
            <v>1407301</v>
          </cell>
        </row>
        <row r="46">
          <cell r="B46">
            <v>158535819.25</v>
          </cell>
        </row>
        <row r="48">
          <cell r="B48">
            <v>9919342.5500000007</v>
          </cell>
        </row>
        <row r="49">
          <cell r="B49">
            <v>4356654.32</v>
          </cell>
        </row>
        <row r="51">
          <cell r="B51">
            <v>924960.8</v>
          </cell>
        </row>
        <row r="52">
          <cell r="B52">
            <v>1194549.83</v>
          </cell>
        </row>
        <row r="56">
          <cell r="B56">
            <v>0</v>
          </cell>
        </row>
        <row r="57">
          <cell r="B57">
            <v>0</v>
          </cell>
        </row>
      </sheetData>
      <sheetData sheetId="14">
        <row r="38">
          <cell r="C38">
            <v>439856.6</v>
          </cell>
          <cell r="D38">
            <v>18770784.579999998</v>
          </cell>
          <cell r="E38">
            <v>0</v>
          </cell>
        </row>
        <row r="40">
          <cell r="C40">
            <v>0</v>
          </cell>
          <cell r="D40">
            <v>9700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16106.86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</sheetData>
      <sheetData sheetId="15" refreshError="1"/>
      <sheetData sheetId="16">
        <row r="11">
          <cell r="I11">
            <v>0</v>
          </cell>
        </row>
        <row r="12">
          <cell r="I12">
            <v>0</v>
          </cell>
        </row>
        <row r="23">
          <cell r="B23">
            <v>0</v>
          </cell>
          <cell r="C23">
            <v>27253283.239999998</v>
          </cell>
          <cell r="D23">
            <v>0</v>
          </cell>
          <cell r="E23">
            <v>45739877.479999997</v>
          </cell>
          <cell r="F23">
            <v>0</v>
          </cell>
          <cell r="G23">
            <v>55841426.5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195287.41</v>
          </cell>
          <cell r="D24">
            <v>0</v>
          </cell>
          <cell r="E24">
            <v>2982116.94</v>
          </cell>
          <cell r="F24">
            <v>0</v>
          </cell>
          <cell r="G24">
            <v>3183779.04</v>
          </cell>
          <cell r="H24">
            <v>0</v>
          </cell>
        </row>
        <row r="25">
          <cell r="B25">
            <v>0</v>
          </cell>
          <cell r="C25">
            <v>5513177.1600000001</v>
          </cell>
          <cell r="D25">
            <v>0</v>
          </cell>
          <cell r="E25">
            <v>0</v>
          </cell>
          <cell r="F25">
            <v>0</v>
          </cell>
          <cell r="G25">
            <v>13022026.810000001</v>
          </cell>
          <cell r="H25">
            <v>0</v>
          </cell>
        </row>
      </sheetData>
      <sheetData sheetId="17" refreshError="1"/>
      <sheetData sheetId="18"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449766.37</v>
          </cell>
          <cell r="C27">
            <v>446079.89</v>
          </cell>
        </row>
        <row r="28">
          <cell r="B28">
            <v>255274</v>
          </cell>
          <cell r="C28">
            <v>223361</v>
          </cell>
        </row>
        <row r="29">
          <cell r="B29">
            <v>18074.919999999998</v>
          </cell>
          <cell r="C29">
            <v>18074.919999999998</v>
          </cell>
        </row>
      </sheetData>
      <sheetData sheetId="19">
        <row r="285">
          <cell r="C285">
            <v>10406</v>
          </cell>
          <cell r="D285">
            <v>100</v>
          </cell>
          <cell r="E285">
            <v>520300</v>
          </cell>
          <cell r="F285">
            <v>0</v>
          </cell>
          <cell r="G285">
            <v>520300</v>
          </cell>
          <cell r="H285">
            <v>-185696.53</v>
          </cell>
          <cell r="I285">
            <v>1768619.44</v>
          </cell>
        </row>
        <row r="286">
          <cell r="C286">
            <v>657835</v>
          </cell>
          <cell r="D286">
            <v>100</v>
          </cell>
          <cell r="E286">
            <v>328917500</v>
          </cell>
          <cell r="F286">
            <v>0</v>
          </cell>
          <cell r="G286">
            <v>328917500</v>
          </cell>
          <cell r="H286">
            <v>4521856.08</v>
          </cell>
          <cell r="I286">
            <v>660288957.07000005</v>
          </cell>
        </row>
        <row r="287">
          <cell r="C287">
            <v>585616</v>
          </cell>
          <cell r="D287">
            <v>100</v>
          </cell>
          <cell r="E287">
            <v>292808000</v>
          </cell>
          <cell r="F287">
            <v>0</v>
          </cell>
          <cell r="G287">
            <v>292808000</v>
          </cell>
          <cell r="H287">
            <v>5423723.7000000002</v>
          </cell>
          <cell r="I287">
            <v>660192978.23000002</v>
          </cell>
        </row>
        <row r="288">
          <cell r="C288">
            <v>461782</v>
          </cell>
          <cell r="D288">
            <v>100</v>
          </cell>
          <cell r="E288">
            <v>230891000</v>
          </cell>
          <cell r="F288">
            <v>0</v>
          </cell>
          <cell r="G288">
            <v>230891000</v>
          </cell>
          <cell r="H288">
            <v>19294342.690000001</v>
          </cell>
          <cell r="I288">
            <v>331781440.91000003</v>
          </cell>
        </row>
        <row r="290">
          <cell r="C290">
            <v>27345751</v>
          </cell>
          <cell r="D290">
            <v>100</v>
          </cell>
          <cell r="E290">
            <v>2734575100</v>
          </cell>
          <cell r="F290">
            <v>0</v>
          </cell>
          <cell r="G290">
            <v>2734575100</v>
          </cell>
          <cell r="H290">
            <v>-39253709.280000001</v>
          </cell>
          <cell r="I290">
            <v>4621148660.8500004</v>
          </cell>
        </row>
        <row r="291">
          <cell r="C291">
            <v>1133516</v>
          </cell>
          <cell r="D291">
            <v>100</v>
          </cell>
          <cell r="E291">
            <v>566758000</v>
          </cell>
          <cell r="F291">
            <v>0</v>
          </cell>
          <cell r="G291">
            <v>566758000</v>
          </cell>
          <cell r="H291">
            <v>472518.45</v>
          </cell>
          <cell r="I291">
            <v>759969643.76999998</v>
          </cell>
        </row>
        <row r="292">
          <cell r="C292">
            <v>10000</v>
          </cell>
          <cell r="D292">
            <v>100</v>
          </cell>
          <cell r="E292">
            <v>5000000</v>
          </cell>
          <cell r="F292">
            <v>0</v>
          </cell>
          <cell r="G292">
            <v>5000000</v>
          </cell>
          <cell r="H292">
            <v>2586884.37</v>
          </cell>
          <cell r="I292">
            <v>23174200.32</v>
          </cell>
        </row>
        <row r="293">
          <cell r="C293">
            <v>24601</v>
          </cell>
          <cell r="D293">
            <v>100</v>
          </cell>
          <cell r="E293">
            <v>1230050</v>
          </cell>
          <cell r="F293">
            <v>0</v>
          </cell>
          <cell r="G293">
            <v>1230050</v>
          </cell>
          <cell r="H293">
            <v>208962.78</v>
          </cell>
          <cell r="I293">
            <v>7203224.75</v>
          </cell>
        </row>
        <row r="294">
          <cell r="C294">
            <v>80500</v>
          </cell>
          <cell r="D294">
            <v>100</v>
          </cell>
          <cell r="E294">
            <v>80500000</v>
          </cell>
          <cell r="F294">
            <v>0</v>
          </cell>
          <cell r="G294">
            <v>80500000</v>
          </cell>
          <cell r="H294">
            <v>1966.05</v>
          </cell>
          <cell r="I294">
            <v>116259848.94</v>
          </cell>
        </row>
        <row r="295">
          <cell r="C295">
            <v>168433</v>
          </cell>
          <cell r="D295">
            <v>100</v>
          </cell>
          <cell r="E295">
            <v>168433000</v>
          </cell>
          <cell r="F295">
            <v>0</v>
          </cell>
          <cell r="G295">
            <v>168433000</v>
          </cell>
          <cell r="H295">
            <v>5163480.1399999997</v>
          </cell>
          <cell r="I295">
            <v>235845004.62</v>
          </cell>
        </row>
        <row r="296">
          <cell r="C296">
            <v>177563</v>
          </cell>
          <cell r="D296">
            <v>100</v>
          </cell>
          <cell r="E296">
            <v>177563000</v>
          </cell>
          <cell r="F296">
            <v>0</v>
          </cell>
          <cell r="G296">
            <v>177563000</v>
          </cell>
          <cell r="H296">
            <v>3391426.87</v>
          </cell>
          <cell r="I296">
            <v>195220041.09</v>
          </cell>
        </row>
        <row r="297">
          <cell r="C297">
            <v>1626550</v>
          </cell>
          <cell r="D297">
            <v>100</v>
          </cell>
          <cell r="E297">
            <v>813275000</v>
          </cell>
          <cell r="F297">
            <v>0</v>
          </cell>
          <cell r="G297">
            <v>813275000</v>
          </cell>
          <cell r="H297">
            <v>-6465494.1100000003</v>
          </cell>
          <cell r="I297">
            <v>1146706668</v>
          </cell>
        </row>
        <row r="298">
          <cell r="C298">
            <v>6600</v>
          </cell>
          <cell r="D298">
            <v>100</v>
          </cell>
          <cell r="E298">
            <v>3300000</v>
          </cell>
          <cell r="F298">
            <v>0</v>
          </cell>
          <cell r="G298">
            <v>3300000</v>
          </cell>
          <cell r="H298">
            <v>137826.84</v>
          </cell>
          <cell r="I298">
            <v>5001649.95</v>
          </cell>
        </row>
        <row r="299">
          <cell r="C299">
            <v>1000</v>
          </cell>
          <cell r="D299">
            <v>100</v>
          </cell>
          <cell r="E299">
            <v>1000000</v>
          </cell>
          <cell r="F299">
            <v>0</v>
          </cell>
          <cell r="G299">
            <v>1000000</v>
          </cell>
          <cell r="H299">
            <v>229274.57</v>
          </cell>
          <cell r="I299">
            <v>18800806.379999999</v>
          </cell>
        </row>
        <row r="300">
          <cell r="C300">
            <v>23964</v>
          </cell>
          <cell r="D300">
            <v>100</v>
          </cell>
          <cell r="E300">
            <v>23964000</v>
          </cell>
          <cell r="F300">
            <v>0</v>
          </cell>
          <cell r="G300">
            <v>23964000</v>
          </cell>
          <cell r="H300">
            <v>1548507.11</v>
          </cell>
          <cell r="I300">
            <v>31548525.899999999</v>
          </cell>
        </row>
        <row r="301">
          <cell r="C301">
            <v>63465</v>
          </cell>
          <cell r="D301">
            <v>100</v>
          </cell>
          <cell r="E301">
            <v>63465000</v>
          </cell>
          <cell r="F301">
            <v>0</v>
          </cell>
          <cell r="G301">
            <v>63465000</v>
          </cell>
          <cell r="H301">
            <v>520902.96</v>
          </cell>
          <cell r="I301">
            <v>64338329.659999996</v>
          </cell>
        </row>
        <row r="302">
          <cell r="C302">
            <v>19400</v>
          </cell>
          <cell r="D302">
            <v>100</v>
          </cell>
          <cell r="E302">
            <v>19400000</v>
          </cell>
          <cell r="F302">
            <v>0</v>
          </cell>
          <cell r="G302">
            <v>19400000</v>
          </cell>
          <cell r="H302">
            <v>-5192081.05</v>
          </cell>
          <cell r="I302">
            <v>23037599.57</v>
          </cell>
        </row>
        <row r="303">
          <cell r="C303">
            <v>33402</v>
          </cell>
          <cell r="D303">
            <v>100</v>
          </cell>
          <cell r="E303">
            <v>33402000</v>
          </cell>
          <cell r="F303">
            <v>30628557.73</v>
          </cell>
          <cell r="G303">
            <v>2773442.27</v>
          </cell>
          <cell r="H303">
            <v>-41002343.259999998</v>
          </cell>
          <cell r="I303">
            <v>2773442.27</v>
          </cell>
        </row>
        <row r="304">
          <cell r="C304">
            <v>20111</v>
          </cell>
          <cell r="D304">
            <v>100</v>
          </cell>
          <cell r="E304">
            <v>20111000</v>
          </cell>
          <cell r="F304">
            <v>1005538.08</v>
          </cell>
          <cell r="G304">
            <v>19105461.920000002</v>
          </cell>
          <cell r="H304">
            <v>-7010.45</v>
          </cell>
          <cell r="I304">
            <v>19105461.920000002</v>
          </cell>
        </row>
        <row r="305">
          <cell r="C305">
            <v>100</v>
          </cell>
          <cell r="D305">
            <v>100</v>
          </cell>
          <cell r="E305">
            <v>50000</v>
          </cell>
          <cell r="F305">
            <v>50000</v>
          </cell>
          <cell r="G305">
            <v>0</v>
          </cell>
        </row>
        <row r="306">
          <cell r="C306">
            <v>16000</v>
          </cell>
          <cell r="D306">
            <v>40.22</v>
          </cell>
          <cell r="E306">
            <v>16000000</v>
          </cell>
          <cell r="F306">
            <v>7786850.9199999999</v>
          </cell>
          <cell r="G306">
            <v>8213149.0800000001</v>
          </cell>
          <cell r="H306">
            <v>-1748026.29</v>
          </cell>
          <cell r="I306">
            <v>20421481.870000001</v>
          </cell>
        </row>
        <row r="307">
          <cell r="C307">
            <v>2795</v>
          </cell>
          <cell r="D307">
            <v>0</v>
          </cell>
          <cell r="E307">
            <v>120241.86</v>
          </cell>
          <cell r="F307">
            <v>-79797.11</v>
          </cell>
          <cell r="G307">
            <v>200038.97</v>
          </cell>
        </row>
        <row r="308">
          <cell r="C308">
            <v>4600</v>
          </cell>
          <cell r="D308">
            <v>100</v>
          </cell>
          <cell r="E308">
            <v>2300000</v>
          </cell>
          <cell r="F308">
            <v>0</v>
          </cell>
          <cell r="G308">
            <v>2300000</v>
          </cell>
          <cell r="H308">
            <v>-410481.88</v>
          </cell>
          <cell r="I308">
            <v>5191319.75</v>
          </cell>
        </row>
        <row r="309">
          <cell r="C309">
            <v>19365</v>
          </cell>
          <cell r="D309">
            <v>100</v>
          </cell>
          <cell r="E309">
            <v>19365000</v>
          </cell>
          <cell r="F309">
            <v>6612029.1100000003</v>
          </cell>
          <cell r="G309">
            <v>12752970.890000001</v>
          </cell>
          <cell r="H309">
            <v>-15969826.16</v>
          </cell>
          <cell r="I309">
            <v>12752970.890000001</v>
          </cell>
        </row>
        <row r="310">
          <cell r="C310">
            <v>100</v>
          </cell>
          <cell r="D310">
            <v>100</v>
          </cell>
          <cell r="E310">
            <v>100000</v>
          </cell>
          <cell r="F310">
            <v>0</v>
          </cell>
          <cell r="G310">
            <v>100000</v>
          </cell>
          <cell r="H310">
            <v>3565475.97</v>
          </cell>
          <cell r="I310">
            <v>11481541.289999999</v>
          </cell>
        </row>
        <row r="311">
          <cell r="C311">
            <v>100</v>
          </cell>
          <cell r="D311">
            <v>100</v>
          </cell>
          <cell r="E311">
            <v>100000</v>
          </cell>
          <cell r="F311">
            <v>0</v>
          </cell>
          <cell r="G311">
            <v>100000</v>
          </cell>
          <cell r="H311">
            <v>-13196483.33</v>
          </cell>
          <cell r="I311">
            <v>-8091580.2599999998</v>
          </cell>
        </row>
        <row r="314">
          <cell r="C314">
            <v>10406</v>
          </cell>
          <cell r="D314">
            <v>100</v>
          </cell>
          <cell r="E314">
            <v>520300</v>
          </cell>
          <cell r="F314">
            <v>0</v>
          </cell>
          <cell r="G314">
            <v>520300</v>
          </cell>
          <cell r="H314">
            <v>1771.38</v>
          </cell>
          <cell r="I314">
            <v>1954315.97</v>
          </cell>
        </row>
        <row r="315">
          <cell r="C315">
            <v>657835</v>
          </cell>
          <cell r="D315">
            <v>100</v>
          </cell>
          <cell r="E315">
            <v>328917500</v>
          </cell>
          <cell r="F315">
            <v>0</v>
          </cell>
          <cell r="G315">
            <v>328917500</v>
          </cell>
          <cell r="H315">
            <v>2948882.87</v>
          </cell>
          <cell r="I315">
            <v>656215983.86000001</v>
          </cell>
        </row>
        <row r="316">
          <cell r="C316">
            <v>585616</v>
          </cell>
          <cell r="D316">
            <v>100</v>
          </cell>
          <cell r="E316">
            <v>292808000</v>
          </cell>
          <cell r="F316">
            <v>0</v>
          </cell>
          <cell r="G316">
            <v>292808000</v>
          </cell>
          <cell r="H316">
            <v>-5727414.1299999999</v>
          </cell>
          <cell r="I316">
            <v>769639444.84000003</v>
          </cell>
        </row>
        <row r="317">
          <cell r="C317">
            <v>210982</v>
          </cell>
          <cell r="D317">
            <v>100</v>
          </cell>
          <cell r="E317">
            <v>105491000</v>
          </cell>
          <cell r="F317">
            <v>0</v>
          </cell>
          <cell r="G317">
            <v>105491000</v>
          </cell>
          <cell r="H317">
            <v>14216621.060000001</v>
          </cell>
          <cell r="I317">
            <v>187137098.22</v>
          </cell>
        </row>
        <row r="319">
          <cell r="C319">
            <v>27345751</v>
          </cell>
          <cell r="D319">
            <v>100</v>
          </cell>
          <cell r="E319">
            <v>2734575100</v>
          </cell>
          <cell r="F319">
            <v>0</v>
          </cell>
          <cell r="G319">
            <v>2734575100</v>
          </cell>
          <cell r="H319">
            <v>34375256.380000003</v>
          </cell>
          <cell r="I319">
            <v>4660402370.1300001</v>
          </cell>
        </row>
        <row r="320">
          <cell r="C320">
            <v>933516</v>
          </cell>
          <cell r="D320">
            <v>100</v>
          </cell>
          <cell r="E320">
            <v>466758000</v>
          </cell>
          <cell r="F320">
            <v>0</v>
          </cell>
          <cell r="G320">
            <v>466758000</v>
          </cell>
          <cell r="H320">
            <v>-29943434.850000001</v>
          </cell>
          <cell r="I320">
            <v>659497125.32000005</v>
          </cell>
        </row>
        <row r="321">
          <cell r="C321">
            <v>10000</v>
          </cell>
          <cell r="D321">
            <v>100</v>
          </cell>
          <cell r="E321">
            <v>5000000</v>
          </cell>
          <cell r="F321">
            <v>0</v>
          </cell>
          <cell r="G321">
            <v>5000000</v>
          </cell>
          <cell r="H321">
            <v>2271118.56</v>
          </cell>
          <cell r="I321">
            <v>20887315.949999999</v>
          </cell>
        </row>
        <row r="322">
          <cell r="C322">
            <v>24601</v>
          </cell>
          <cell r="D322">
            <v>100</v>
          </cell>
          <cell r="E322">
            <v>1230050</v>
          </cell>
          <cell r="F322">
            <v>0</v>
          </cell>
          <cell r="G322">
            <v>1230050</v>
          </cell>
          <cell r="H322">
            <v>755535.97</v>
          </cell>
          <cell r="I322">
            <v>7146368.5800000001</v>
          </cell>
        </row>
        <row r="323">
          <cell r="C323">
            <v>80500</v>
          </cell>
          <cell r="D323">
            <v>100</v>
          </cell>
          <cell r="E323">
            <v>80500000</v>
          </cell>
          <cell r="F323">
            <v>0</v>
          </cell>
          <cell r="G323">
            <v>80500000</v>
          </cell>
          <cell r="H323">
            <v>3191277.28</v>
          </cell>
          <cell r="I323">
            <v>116749160.17</v>
          </cell>
        </row>
        <row r="324">
          <cell r="C324">
            <v>153058</v>
          </cell>
          <cell r="D324">
            <v>100</v>
          </cell>
          <cell r="E324">
            <v>153058000</v>
          </cell>
          <cell r="F324">
            <v>0</v>
          </cell>
          <cell r="G324">
            <v>153058000</v>
          </cell>
          <cell r="H324">
            <v>6296618.0300000003</v>
          </cell>
          <cell r="I324">
            <v>215306468.47999999</v>
          </cell>
        </row>
        <row r="325">
          <cell r="C325">
            <v>143379</v>
          </cell>
          <cell r="D325">
            <v>100</v>
          </cell>
          <cell r="E325">
            <v>143379000</v>
          </cell>
          <cell r="F325">
            <v>0</v>
          </cell>
          <cell r="G325">
            <v>143379000</v>
          </cell>
          <cell r="H325">
            <v>3627836.66</v>
          </cell>
          <cell r="I325">
            <v>157644614.22</v>
          </cell>
        </row>
        <row r="326">
          <cell r="C326">
            <v>1134550</v>
          </cell>
          <cell r="D326">
            <v>100</v>
          </cell>
          <cell r="E326">
            <v>567275000</v>
          </cell>
          <cell r="F326">
            <v>0</v>
          </cell>
          <cell r="G326">
            <v>567275000</v>
          </cell>
          <cell r="H326">
            <v>43503674.32</v>
          </cell>
          <cell r="I326">
            <v>1153172162.1099999</v>
          </cell>
        </row>
        <row r="327">
          <cell r="C327">
            <v>6600</v>
          </cell>
          <cell r="D327">
            <v>100</v>
          </cell>
          <cell r="E327">
            <v>3300000</v>
          </cell>
          <cell r="F327">
            <v>0</v>
          </cell>
          <cell r="G327">
            <v>3300000</v>
          </cell>
          <cell r="H327">
            <v>99753.08</v>
          </cell>
          <cell r="I327">
            <v>4863823.1100000003</v>
          </cell>
        </row>
        <row r="328">
          <cell r="C328">
            <v>1000</v>
          </cell>
          <cell r="D328">
            <v>100</v>
          </cell>
          <cell r="E328">
            <v>1000000</v>
          </cell>
          <cell r="F328">
            <v>0</v>
          </cell>
          <cell r="G328">
            <v>1000000</v>
          </cell>
          <cell r="H328">
            <v>182354</v>
          </cell>
          <cell r="I328">
            <v>18571531.809999999</v>
          </cell>
        </row>
        <row r="329">
          <cell r="C329">
            <v>23414</v>
          </cell>
          <cell r="D329">
            <v>100</v>
          </cell>
          <cell r="E329">
            <v>23414000</v>
          </cell>
          <cell r="F329">
            <v>0</v>
          </cell>
          <cell r="G329">
            <v>23414000</v>
          </cell>
          <cell r="H329">
            <v>-3986621.68</v>
          </cell>
          <cell r="I329">
            <v>29450018.789999999</v>
          </cell>
        </row>
        <row r="330">
          <cell r="C330">
            <v>62965</v>
          </cell>
          <cell r="D330">
            <v>100</v>
          </cell>
          <cell r="E330">
            <v>62965000</v>
          </cell>
          <cell r="F330">
            <v>0</v>
          </cell>
          <cell r="G330">
            <v>62965000</v>
          </cell>
          <cell r="H330">
            <v>-55712.02</v>
          </cell>
          <cell r="I330">
            <v>63317426.700000003</v>
          </cell>
        </row>
        <row r="331">
          <cell r="C331">
            <v>19383</v>
          </cell>
          <cell r="D331">
            <v>100</v>
          </cell>
          <cell r="E331">
            <v>19383000</v>
          </cell>
          <cell r="F331">
            <v>8653319.3800000008</v>
          </cell>
          <cell r="G331">
            <v>10729680.619999999</v>
          </cell>
          <cell r="H331">
            <v>-11175742.75</v>
          </cell>
          <cell r="I331">
            <v>10729680.619999999</v>
          </cell>
        </row>
        <row r="332">
          <cell r="C332">
            <v>32192</v>
          </cell>
          <cell r="D332">
            <v>100</v>
          </cell>
          <cell r="E332">
            <v>32192000</v>
          </cell>
          <cell r="F332">
            <v>32192000</v>
          </cell>
          <cell r="G332">
            <v>0</v>
          </cell>
          <cell r="H332">
            <v>-28025570.239999998</v>
          </cell>
          <cell r="I332">
            <v>-8282695.7199999997</v>
          </cell>
        </row>
        <row r="333">
          <cell r="C333">
            <v>20111</v>
          </cell>
          <cell r="D333">
            <v>100</v>
          </cell>
          <cell r="E333">
            <v>20111000</v>
          </cell>
          <cell r="F333">
            <v>1014663.13</v>
          </cell>
          <cell r="G333">
            <v>19096336.870000001</v>
          </cell>
          <cell r="H333">
            <v>154822.39000000001</v>
          </cell>
          <cell r="I333">
            <v>19096336.870000001</v>
          </cell>
        </row>
        <row r="334">
          <cell r="C334">
            <v>100</v>
          </cell>
          <cell r="D334">
            <v>100</v>
          </cell>
          <cell r="E334">
            <v>50000</v>
          </cell>
          <cell r="F334">
            <v>50000</v>
          </cell>
          <cell r="G334">
            <v>0</v>
          </cell>
        </row>
        <row r="335">
          <cell r="C335">
            <v>16000</v>
          </cell>
          <cell r="D335">
            <v>40.22</v>
          </cell>
          <cell r="E335">
            <v>16000000</v>
          </cell>
          <cell r="F335">
            <v>7083826.4900000002</v>
          </cell>
          <cell r="G335">
            <v>8916173.5099999998</v>
          </cell>
          <cell r="H335">
            <v>-4239087.17</v>
          </cell>
          <cell r="I335">
            <v>22169508.16</v>
          </cell>
        </row>
        <row r="336">
          <cell r="C336">
            <v>16862</v>
          </cell>
          <cell r="D336">
            <v>0</v>
          </cell>
          <cell r="E336">
            <v>195296.65</v>
          </cell>
          <cell r="F336">
            <v>-13138.4</v>
          </cell>
          <cell r="G336">
            <v>208435.05</v>
          </cell>
        </row>
        <row r="337">
          <cell r="C337">
            <v>4600</v>
          </cell>
          <cell r="D337">
            <v>100</v>
          </cell>
          <cell r="E337">
            <v>2300000</v>
          </cell>
          <cell r="F337">
            <v>0</v>
          </cell>
          <cell r="G337">
            <v>2300000</v>
          </cell>
          <cell r="H337">
            <v>763015.44</v>
          </cell>
          <cell r="I337">
            <v>5811801.6299999999</v>
          </cell>
        </row>
        <row r="338">
          <cell r="C338">
            <v>19355</v>
          </cell>
          <cell r="D338">
            <v>100</v>
          </cell>
          <cell r="E338">
            <v>19355000</v>
          </cell>
          <cell r="F338">
            <v>6860755.9000000004</v>
          </cell>
          <cell r="G338">
            <v>12494244.1</v>
          </cell>
          <cell r="H338">
            <v>-16257819.130000001</v>
          </cell>
          <cell r="I338">
            <v>12222797.050000001</v>
          </cell>
        </row>
      </sheetData>
      <sheetData sheetId="20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1408822326.52</v>
          </cell>
          <cell r="D27">
            <v>879862134.47000003</v>
          </cell>
          <cell r="E27">
            <v>27347758.079999998</v>
          </cell>
          <cell r="F27">
            <v>746618896.41999996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455179558.82999998</v>
          </cell>
          <cell r="D29">
            <v>433368127.80000001</v>
          </cell>
          <cell r="E29">
            <v>2109554.09</v>
          </cell>
          <cell r="F29">
            <v>397274429.25999999</v>
          </cell>
        </row>
      </sheetData>
      <sheetData sheetId="21"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210812488</v>
          </cell>
          <cell r="D53">
            <v>16140112.779999999</v>
          </cell>
          <cell r="E53">
            <v>9546034.3200000003</v>
          </cell>
          <cell r="F53">
            <v>19543208</v>
          </cell>
        </row>
        <row r="54">
          <cell r="C54">
            <v>1678057</v>
          </cell>
          <cell r="D54">
            <v>79000</v>
          </cell>
          <cell r="E54">
            <v>0</v>
          </cell>
          <cell r="F54">
            <v>0</v>
          </cell>
        </row>
        <row r="55">
          <cell r="C55">
            <v>24046844.77</v>
          </cell>
          <cell r="D55">
            <v>4023392.42</v>
          </cell>
          <cell r="E55">
            <v>0</v>
          </cell>
          <cell r="F55">
            <v>491134</v>
          </cell>
        </row>
        <row r="56">
          <cell r="C56">
            <v>306466152.88</v>
          </cell>
          <cell r="D56">
            <v>150369130.94999999</v>
          </cell>
          <cell r="E56">
            <v>812408</v>
          </cell>
          <cell r="F56">
            <v>42369265.380000003</v>
          </cell>
        </row>
        <row r="57">
          <cell r="C57">
            <v>25847927.780000001</v>
          </cell>
          <cell r="D57">
            <v>4462499.3499999996</v>
          </cell>
          <cell r="E57">
            <v>11750323</v>
          </cell>
          <cell r="F57">
            <v>1447860.35</v>
          </cell>
        </row>
        <row r="58">
          <cell r="C58">
            <v>1078516</v>
          </cell>
          <cell r="D58">
            <v>160356</v>
          </cell>
          <cell r="E58">
            <v>297316</v>
          </cell>
          <cell r="F58">
            <v>244650</v>
          </cell>
        </row>
        <row r="59">
          <cell r="C59">
            <v>137157370.12</v>
          </cell>
          <cell r="D59">
            <v>14371940.449999999</v>
          </cell>
          <cell r="E59">
            <v>182696.4</v>
          </cell>
          <cell r="F59">
            <v>4560165.32</v>
          </cell>
        </row>
        <row r="60">
          <cell r="C60">
            <v>853097473.25</v>
          </cell>
          <cell r="D60">
            <v>190299384.56999999</v>
          </cell>
          <cell r="E60">
            <v>103662607.65000001</v>
          </cell>
          <cell r="F60">
            <v>162696012.87</v>
          </cell>
        </row>
      </sheetData>
      <sheetData sheetId="22"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1">
          <cell r="B31">
            <v>18430.47</v>
          </cell>
          <cell r="C31">
            <v>18098.560000000056</v>
          </cell>
        </row>
        <row r="32">
          <cell r="B32">
            <v>22247.18</v>
          </cell>
          <cell r="C32">
            <v>116105.89</v>
          </cell>
        </row>
        <row r="33">
          <cell r="B33">
            <v>120791.35</v>
          </cell>
          <cell r="C33">
            <v>118386.75</v>
          </cell>
        </row>
        <row r="35">
          <cell r="B35">
            <v>179447.71</v>
          </cell>
          <cell r="C35">
            <v>64319.199999999997</v>
          </cell>
        </row>
        <row r="36">
          <cell r="B36">
            <v>161162.18</v>
          </cell>
          <cell r="C36">
            <v>46708.19</v>
          </cell>
        </row>
        <row r="37">
          <cell r="B37">
            <v>290505.12</v>
          </cell>
          <cell r="C37">
            <v>256264.23</v>
          </cell>
        </row>
      </sheetData>
      <sheetData sheetId="23" refreshError="1"/>
      <sheetData sheetId="24" refreshError="1"/>
      <sheetData sheetId="25">
        <row r="26">
          <cell r="B26">
            <v>50341194.82</v>
          </cell>
          <cell r="C26">
            <v>30968397.510000002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</sheetData>
      <sheetData sheetId="26">
        <row r="47">
          <cell r="C47">
            <v>0</v>
          </cell>
          <cell r="D47">
            <v>0</v>
          </cell>
        </row>
        <row r="48">
          <cell r="C48">
            <v>10000</v>
          </cell>
          <cell r="D48">
            <v>33090</v>
          </cell>
        </row>
        <row r="49">
          <cell r="C49">
            <v>0</v>
          </cell>
          <cell r="D49">
            <v>0</v>
          </cell>
        </row>
        <row r="50">
          <cell r="C50">
            <v>2861001820</v>
          </cell>
          <cell r="D50">
            <v>2861001820</v>
          </cell>
        </row>
        <row r="51">
          <cell r="C51">
            <v>0</v>
          </cell>
          <cell r="D51">
            <v>6072334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3971763.9</v>
          </cell>
          <cell r="D54">
            <v>3840129</v>
          </cell>
        </row>
        <row r="55">
          <cell r="C55">
            <v>266211731.62</v>
          </cell>
          <cell r="D55">
            <v>321437890.36000001</v>
          </cell>
        </row>
      </sheetData>
      <sheetData sheetId="27"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121758.9</v>
          </cell>
          <cell r="C44">
            <v>98842.91</v>
          </cell>
        </row>
        <row r="45">
          <cell r="B45">
            <v>0</v>
          </cell>
          <cell r="C45">
            <v>0</v>
          </cell>
        </row>
        <row r="46">
          <cell r="B46">
            <v>3984659.06</v>
          </cell>
          <cell r="C46">
            <v>4679689.96</v>
          </cell>
        </row>
        <row r="47">
          <cell r="B47">
            <v>0</v>
          </cell>
          <cell r="C47">
            <v>15.37</v>
          </cell>
        </row>
        <row r="48">
          <cell r="B48">
            <v>283.70999999999998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869246.19</v>
          </cell>
          <cell r="C51">
            <v>524724.02</v>
          </cell>
        </row>
        <row r="53">
          <cell r="B53">
            <v>0</v>
          </cell>
          <cell r="C53">
            <v>0</v>
          </cell>
        </row>
        <row r="54">
          <cell r="B54">
            <v>3152047.85</v>
          </cell>
          <cell r="C54">
            <v>2759468.31</v>
          </cell>
        </row>
        <row r="55">
          <cell r="B55">
            <v>27319.15</v>
          </cell>
          <cell r="C55">
            <v>23044.74</v>
          </cell>
        </row>
        <row r="56">
          <cell r="B56">
            <v>0</v>
          </cell>
          <cell r="C56">
            <v>0</v>
          </cell>
        </row>
        <row r="57">
          <cell r="B57">
            <v>21652691.629999999</v>
          </cell>
          <cell r="C57">
            <v>30745448.239999998</v>
          </cell>
        </row>
        <row r="58">
          <cell r="B58">
            <v>27638.240000000002</v>
          </cell>
          <cell r="C58">
            <v>30947.09</v>
          </cell>
        </row>
        <row r="59">
          <cell r="B59">
            <v>12831.21</v>
          </cell>
          <cell r="C59">
            <v>12343203.939999999</v>
          </cell>
        </row>
        <row r="60">
          <cell r="B60">
            <v>119915.97</v>
          </cell>
          <cell r="C60">
            <v>107069.16</v>
          </cell>
        </row>
        <row r="61">
          <cell r="B61">
            <v>0</v>
          </cell>
          <cell r="C61">
            <v>0</v>
          </cell>
        </row>
        <row r="62">
          <cell r="B62">
            <v>205858.34</v>
          </cell>
          <cell r="C62">
            <v>1145236.3799999999</v>
          </cell>
        </row>
      </sheetData>
      <sheetData sheetId="28">
        <row r="62">
          <cell r="B62">
            <v>108934458.09999999</v>
          </cell>
          <cell r="C62">
            <v>112413297.87</v>
          </cell>
        </row>
        <row r="63">
          <cell r="B63">
            <v>0</v>
          </cell>
          <cell r="C63">
            <v>486237.4</v>
          </cell>
        </row>
        <row r="64">
          <cell r="B64">
            <v>9169830.9800000004</v>
          </cell>
          <cell r="C64">
            <v>7377355.1100000003</v>
          </cell>
        </row>
        <row r="65">
          <cell r="B65">
            <v>626806.06000000006</v>
          </cell>
          <cell r="C65">
            <v>342612.88</v>
          </cell>
        </row>
        <row r="66">
          <cell r="B66">
            <v>16332.84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1357692.28</v>
          </cell>
          <cell r="C68">
            <v>20198321.129999999</v>
          </cell>
        </row>
        <row r="70">
          <cell r="B70">
            <v>0</v>
          </cell>
          <cell r="C70">
            <v>0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</sheetData>
      <sheetData sheetId="29">
        <row r="19">
          <cell r="C19">
            <v>213422757.00999999</v>
          </cell>
          <cell r="D19">
            <v>262685156.75999999</v>
          </cell>
        </row>
      </sheetData>
      <sheetData sheetId="30">
        <row r="17">
          <cell r="C17">
            <v>24750629.579999998</v>
          </cell>
          <cell r="D17">
            <v>22842092.629999999</v>
          </cell>
        </row>
      </sheetData>
      <sheetData sheetId="31">
        <row r="35">
          <cell r="B35">
            <v>5079777246.6499996</v>
          </cell>
          <cell r="C35">
            <v>0</v>
          </cell>
          <cell r="D35">
            <v>0</v>
          </cell>
          <cell r="E35">
            <v>67233302.040000007</v>
          </cell>
          <cell r="F35">
            <v>0</v>
          </cell>
          <cell r="G35">
            <v>0</v>
          </cell>
          <cell r="H35">
            <v>0</v>
          </cell>
        </row>
        <row r="37">
          <cell r="B37">
            <v>616966650.21000004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3">
          <cell r="B43">
            <v>93595705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95869.62</v>
          </cell>
          <cell r="F46">
            <v>0</v>
          </cell>
          <cell r="G46">
            <v>0</v>
          </cell>
          <cell r="H46">
            <v>0</v>
          </cell>
        </row>
        <row r="49">
          <cell r="B49">
            <v>55841426.5</v>
          </cell>
          <cell r="C49">
            <v>0</v>
          </cell>
          <cell r="D49">
            <v>0</v>
          </cell>
          <cell r="E49">
            <v>45739877.479999997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3183779.04</v>
          </cell>
          <cell r="C50">
            <v>0</v>
          </cell>
          <cell r="D50">
            <v>0</v>
          </cell>
          <cell r="E50">
            <v>2982116.94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13022026.810000001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</sheetData>
      <sheetData sheetId="32">
        <row r="31">
          <cell r="B31">
            <v>4544055.7</v>
          </cell>
          <cell r="C31">
            <v>6267281.1900000004</v>
          </cell>
        </row>
        <row r="32">
          <cell r="B32">
            <v>52533024.710000001</v>
          </cell>
          <cell r="C32">
            <v>29345836.539999999</v>
          </cell>
        </row>
        <row r="33">
          <cell r="B33">
            <v>129.99</v>
          </cell>
          <cell r="C33">
            <v>129.99</v>
          </cell>
        </row>
        <row r="36">
          <cell r="B36">
            <v>242801470.53</v>
          </cell>
          <cell r="C36">
            <v>224057273.36000001</v>
          </cell>
        </row>
        <row r="37">
          <cell r="B37">
            <v>240479217.91</v>
          </cell>
          <cell r="C37">
            <v>219320055.90000001</v>
          </cell>
        </row>
        <row r="38">
          <cell r="B38">
            <v>5890237.0999999996</v>
          </cell>
          <cell r="C38">
            <v>6688000.21</v>
          </cell>
        </row>
        <row r="39">
          <cell r="B39">
            <v>252970836.67000002</v>
          </cell>
          <cell r="C39">
            <v>190271766.21000001</v>
          </cell>
        </row>
        <row r="40">
          <cell r="B40">
            <v>22270</v>
          </cell>
          <cell r="C40">
            <v>22270</v>
          </cell>
        </row>
        <row r="41">
          <cell r="B41">
            <v>31115487.25</v>
          </cell>
          <cell r="C41">
            <v>44008964.049999982</v>
          </cell>
        </row>
        <row r="42">
          <cell r="B42">
            <v>0</v>
          </cell>
          <cell r="C42">
            <v>257.17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61">
          <cell r="C61">
            <v>90783557.849999994</v>
          </cell>
          <cell r="D61">
            <v>102059969.78</v>
          </cell>
        </row>
        <row r="62">
          <cell r="C62">
            <v>250174445.71000001</v>
          </cell>
          <cell r="D62">
            <v>247095867.56999999</v>
          </cell>
        </row>
        <row r="63">
          <cell r="C63">
            <v>14893726.58</v>
          </cell>
          <cell r="D63">
            <v>18015262.57</v>
          </cell>
        </row>
        <row r="64">
          <cell r="C64">
            <v>0</v>
          </cell>
          <cell r="D64">
            <v>0</v>
          </cell>
        </row>
        <row r="65">
          <cell r="C65">
            <v>6983386.4699999997</v>
          </cell>
          <cell r="D65">
            <v>8246039.7800000003</v>
          </cell>
        </row>
        <row r="66">
          <cell r="C66">
            <v>0</v>
          </cell>
          <cell r="D66">
            <v>0</v>
          </cell>
        </row>
        <row r="67">
          <cell r="C67">
            <v>2502321.86</v>
          </cell>
          <cell r="D67">
            <v>2791554.98</v>
          </cell>
        </row>
        <row r="68">
          <cell r="C68">
            <v>7601193.7800000003</v>
          </cell>
          <cell r="D68">
            <v>6928751.6399999997</v>
          </cell>
        </row>
        <row r="69">
          <cell r="C69">
            <v>558531.68000000005</v>
          </cell>
          <cell r="D69">
            <v>176846.83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168780.48</v>
          </cell>
        </row>
        <row r="72">
          <cell r="C72">
            <v>0</v>
          </cell>
          <cell r="D72">
            <v>0</v>
          </cell>
        </row>
        <row r="75">
          <cell r="C75">
            <v>1394625866.6900001</v>
          </cell>
          <cell r="D75">
            <v>1450852619.6700001</v>
          </cell>
        </row>
        <row r="76">
          <cell r="C76">
            <v>26873397.719999999</v>
          </cell>
          <cell r="D76">
            <v>26599480.300000001</v>
          </cell>
        </row>
        <row r="77">
          <cell r="C77">
            <v>1058480793.6799999</v>
          </cell>
          <cell r="D77">
            <v>778195497.91999996</v>
          </cell>
        </row>
        <row r="78">
          <cell r="C78">
            <v>1140468.3999999999</v>
          </cell>
          <cell r="D78">
            <v>1195648.78</v>
          </cell>
        </row>
        <row r="79">
          <cell r="C79">
            <v>87.85</v>
          </cell>
          <cell r="D79">
            <v>3268</v>
          </cell>
        </row>
        <row r="80">
          <cell r="C80">
            <v>105139600.23999999</v>
          </cell>
          <cell r="D80">
            <v>131020354.26000001</v>
          </cell>
        </row>
        <row r="81">
          <cell r="C81">
            <v>128738267.95999999</v>
          </cell>
          <cell r="D81">
            <v>162572833.16</v>
          </cell>
        </row>
        <row r="83">
          <cell r="C83">
            <v>6931913316</v>
          </cell>
          <cell r="D83">
            <v>6935630340.3900003</v>
          </cell>
        </row>
        <row r="84">
          <cell r="C84">
            <v>1030043462.15</v>
          </cell>
          <cell r="D84">
            <v>1364739459.79</v>
          </cell>
        </row>
        <row r="86">
          <cell r="C86">
            <v>3463937697.71</v>
          </cell>
          <cell r="D86">
            <v>2305660862.52</v>
          </cell>
        </row>
        <row r="87">
          <cell r="C87">
            <v>3242357417</v>
          </cell>
          <cell r="D87">
            <v>2969424597</v>
          </cell>
        </row>
        <row r="89">
          <cell r="C89">
            <v>166524192.97999999</v>
          </cell>
          <cell r="D89">
            <v>148552165.63999999</v>
          </cell>
        </row>
        <row r="90">
          <cell r="C90">
            <v>0</v>
          </cell>
          <cell r="D90">
            <v>130.41999999999999</v>
          </cell>
        </row>
        <row r="91">
          <cell r="C91">
            <v>-2003.1</v>
          </cell>
          <cell r="D91">
            <v>0</v>
          </cell>
        </row>
        <row r="92">
          <cell r="C92">
            <v>0</v>
          </cell>
          <cell r="D92">
            <v>0</v>
          </cell>
        </row>
        <row r="93">
          <cell r="C93">
            <v>12190854.32</v>
          </cell>
          <cell r="D93">
            <v>17121680.629999999</v>
          </cell>
        </row>
        <row r="94">
          <cell r="C94">
            <v>10496887.9</v>
          </cell>
          <cell r="D94">
            <v>12914606.060000001</v>
          </cell>
        </row>
        <row r="95">
          <cell r="C95">
            <v>106155148.84999999</v>
          </cell>
          <cell r="D95">
            <v>115664604.47</v>
          </cell>
        </row>
        <row r="96">
          <cell r="C96">
            <v>52357880.18</v>
          </cell>
          <cell r="D96">
            <v>61053807.009999998</v>
          </cell>
        </row>
        <row r="97">
          <cell r="C97">
            <v>55327835.829999998</v>
          </cell>
          <cell r="D97">
            <v>49435106.600000001</v>
          </cell>
        </row>
        <row r="98">
          <cell r="C98">
            <v>17344531.52</v>
          </cell>
          <cell r="D98">
            <v>21000273.550000001</v>
          </cell>
        </row>
        <row r="99">
          <cell r="C99">
            <v>0</v>
          </cell>
          <cell r="D99">
            <v>0</v>
          </cell>
        </row>
        <row r="100">
          <cell r="C100">
            <v>8471168.1199999992</v>
          </cell>
          <cell r="D100">
            <v>7661317.6100000003</v>
          </cell>
        </row>
        <row r="101">
          <cell r="C101">
            <v>809895640.95000005</v>
          </cell>
          <cell r="D101">
            <v>1159920868.8999999</v>
          </cell>
        </row>
        <row r="102">
          <cell r="C102">
            <v>138468560.63</v>
          </cell>
          <cell r="D102">
            <v>573832351.86000001</v>
          </cell>
        </row>
      </sheetData>
      <sheetData sheetId="38">
        <row r="26">
          <cell r="C26">
            <v>99829111.689999998</v>
          </cell>
          <cell r="D26">
            <v>111913005.90000001</v>
          </cell>
        </row>
        <row r="27">
          <cell r="C27">
            <v>18648121.5</v>
          </cell>
          <cell r="D27">
            <v>18791256.16</v>
          </cell>
        </row>
        <row r="28">
          <cell r="C28">
            <v>768280353.14999998</v>
          </cell>
          <cell r="D28">
            <v>846666858.91999996</v>
          </cell>
        </row>
        <row r="29">
          <cell r="C29">
            <v>5902378.7999999998</v>
          </cell>
          <cell r="D29">
            <v>6508999.1399999997</v>
          </cell>
        </row>
        <row r="30">
          <cell r="C30">
            <v>559828.80000000005</v>
          </cell>
          <cell r="D30">
            <v>396901.37</v>
          </cell>
        </row>
        <row r="31">
          <cell r="C31">
            <v>2055666.05</v>
          </cell>
          <cell r="D31">
            <v>1984225.82</v>
          </cell>
        </row>
        <row r="32">
          <cell r="C32">
            <v>191339.09</v>
          </cell>
          <cell r="D32">
            <v>225390.6</v>
          </cell>
        </row>
        <row r="33">
          <cell r="C33">
            <v>6091504.3499999996</v>
          </cell>
          <cell r="D33">
            <v>10319648.939999999</v>
          </cell>
        </row>
        <row r="34">
          <cell r="C34">
            <v>30623724.210000001</v>
          </cell>
          <cell r="D34">
            <v>44057922.119999997</v>
          </cell>
        </row>
        <row r="35">
          <cell r="C35">
            <v>7463.25</v>
          </cell>
          <cell r="D35">
            <v>8394330.1400000006</v>
          </cell>
        </row>
      </sheetData>
      <sheetData sheetId="39">
        <row r="36">
          <cell r="C36">
            <v>228477307.02000001</v>
          </cell>
          <cell r="D36">
            <v>220807509.83000001</v>
          </cell>
        </row>
        <row r="37">
          <cell r="C37">
            <v>1894679.58</v>
          </cell>
          <cell r="D37">
            <v>5738149.75</v>
          </cell>
        </row>
        <row r="38">
          <cell r="C38">
            <v>75916605.980000004</v>
          </cell>
          <cell r="D38">
            <v>81062635.049999997</v>
          </cell>
        </row>
        <row r="39">
          <cell r="C39">
            <v>350863.81</v>
          </cell>
          <cell r="D39">
            <v>684942.08</v>
          </cell>
        </row>
        <row r="41">
          <cell r="C41">
            <v>4150669.57</v>
          </cell>
          <cell r="D41">
            <v>3937955.47</v>
          </cell>
        </row>
        <row r="42">
          <cell r="C42">
            <v>0</v>
          </cell>
          <cell r="D42">
            <v>0</v>
          </cell>
        </row>
        <row r="43">
          <cell r="C43">
            <v>45667139.890000001</v>
          </cell>
          <cell r="D43">
            <v>58363859.240000002</v>
          </cell>
        </row>
        <row r="44">
          <cell r="C44">
            <v>19963.21</v>
          </cell>
          <cell r="D44">
            <v>45784.15</v>
          </cell>
        </row>
        <row r="45">
          <cell r="C45">
            <v>487915.07</v>
          </cell>
          <cell r="D45">
            <v>9412079.4499999993</v>
          </cell>
        </row>
        <row r="46">
          <cell r="C46">
            <v>254707827.27000001</v>
          </cell>
          <cell r="D46">
            <v>218210217.93000001</v>
          </cell>
        </row>
        <row r="47">
          <cell r="C47">
            <v>194610688.03</v>
          </cell>
          <cell r="D47">
            <v>106851045.84</v>
          </cell>
        </row>
        <row r="48">
          <cell r="C48">
            <v>271752.75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62228987.399999999</v>
          </cell>
          <cell r="D50">
            <v>60955423.82</v>
          </cell>
        </row>
      </sheetData>
      <sheetData sheetId="40">
        <row r="33">
          <cell r="C33">
            <v>0</v>
          </cell>
          <cell r="D33">
            <v>0</v>
          </cell>
        </row>
        <row r="34">
          <cell r="C34">
            <v>869310357.64999998</v>
          </cell>
          <cell r="D34">
            <v>621554964.23000002</v>
          </cell>
        </row>
        <row r="35">
          <cell r="C35">
            <v>1708832.66</v>
          </cell>
          <cell r="D35">
            <v>2141474.08</v>
          </cell>
        </row>
        <row r="37">
          <cell r="C37">
            <v>826885.26</v>
          </cell>
          <cell r="D37">
            <v>0</v>
          </cell>
        </row>
        <row r="38">
          <cell r="C38">
            <v>2983958.77</v>
          </cell>
          <cell r="D38">
            <v>2982116.94</v>
          </cell>
        </row>
        <row r="39">
          <cell r="C39">
            <v>395120963.27999997</v>
          </cell>
          <cell r="D39">
            <v>295617462.76999998</v>
          </cell>
        </row>
        <row r="42">
          <cell r="C42">
            <v>238124799.93000001</v>
          </cell>
          <cell r="D42">
            <v>214275208.19</v>
          </cell>
        </row>
        <row r="43">
          <cell r="C43">
            <v>62377700.719999999</v>
          </cell>
          <cell r="D43">
            <v>23632750.629999999</v>
          </cell>
        </row>
        <row r="44">
          <cell r="C44">
            <v>0</v>
          </cell>
          <cell r="D44">
            <v>0</v>
          </cell>
        </row>
        <row r="45">
          <cell r="C45">
            <v>168167217.03</v>
          </cell>
          <cell r="D45">
            <v>82905951.620000005</v>
          </cell>
        </row>
      </sheetData>
      <sheetData sheetId="41">
        <row r="32">
          <cell r="C32">
            <v>182289.02</v>
          </cell>
          <cell r="D32">
            <v>203988.1</v>
          </cell>
        </row>
        <row r="36">
          <cell r="C36">
            <v>43237058.109999999</v>
          </cell>
          <cell r="D36">
            <v>135491492.43000001</v>
          </cell>
        </row>
        <row r="37">
          <cell r="C37">
            <v>8507557.9100000001</v>
          </cell>
          <cell r="D37">
            <v>248459816.53999999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4622.79</v>
          </cell>
        </row>
        <row r="41">
          <cell r="C41">
            <v>119055856.94</v>
          </cell>
          <cell r="D41">
            <v>100216756.63</v>
          </cell>
        </row>
        <row r="42">
          <cell r="C42">
            <v>0</v>
          </cell>
          <cell r="D42">
            <v>9838247.7699999996</v>
          </cell>
        </row>
        <row r="43">
          <cell r="C43">
            <v>0</v>
          </cell>
          <cell r="D43">
            <v>0</v>
          </cell>
        </row>
        <row r="44">
          <cell r="C44">
            <v>1150822.6100000001</v>
          </cell>
          <cell r="D44">
            <v>1697271.64</v>
          </cell>
        </row>
        <row r="45">
          <cell r="C45">
            <v>39335131.659999996</v>
          </cell>
          <cell r="D45">
            <v>38590957.490000002</v>
          </cell>
        </row>
      </sheetData>
      <sheetData sheetId="42">
        <row r="30">
          <cell r="C30">
            <v>124105272.13</v>
          </cell>
          <cell r="D30">
            <v>180755820.22999999</v>
          </cell>
        </row>
        <row r="31">
          <cell r="C31">
            <v>5689097.29</v>
          </cell>
          <cell r="D31">
            <v>4265747.03</v>
          </cell>
        </row>
        <row r="35">
          <cell r="C35">
            <v>21639</v>
          </cell>
          <cell r="D35">
            <v>56767.99</v>
          </cell>
        </row>
        <row r="36">
          <cell r="C36">
            <v>5801187.3600000003</v>
          </cell>
          <cell r="D36">
            <v>0</v>
          </cell>
        </row>
        <row r="37">
          <cell r="C37">
            <v>116339088.13</v>
          </cell>
          <cell r="D37">
            <v>183357390.22999999</v>
          </cell>
        </row>
        <row r="38">
          <cell r="C38">
            <v>8650258.25</v>
          </cell>
          <cell r="D38">
            <v>40556798.039999999</v>
          </cell>
        </row>
        <row r="39">
          <cell r="C39">
            <v>2214109.71</v>
          </cell>
          <cell r="D39">
            <v>1949046.8</v>
          </cell>
        </row>
        <row r="40">
          <cell r="C40">
            <v>567295111.95000005</v>
          </cell>
          <cell r="D40">
            <v>443095071.10000002</v>
          </cell>
        </row>
      </sheetData>
      <sheetData sheetId="43" refreshError="1"/>
      <sheetData sheetId="44">
        <row r="11">
          <cell r="C11">
            <v>0</v>
          </cell>
          <cell r="D11">
            <v>0</v>
          </cell>
          <cell r="E11">
            <v>31212</v>
          </cell>
          <cell r="F11">
            <v>1204387</v>
          </cell>
        </row>
        <row r="12">
          <cell r="C12">
            <v>174873.4</v>
          </cell>
          <cell r="D12">
            <v>414404.16</v>
          </cell>
          <cell r="E12">
            <v>302</v>
          </cell>
          <cell r="F12">
            <v>5928564.1799999997</v>
          </cell>
        </row>
        <row r="13">
          <cell r="C13">
            <v>0</v>
          </cell>
          <cell r="D13">
            <v>0</v>
          </cell>
          <cell r="E13">
            <v>1346636.34</v>
          </cell>
          <cell r="F13">
            <v>0</v>
          </cell>
        </row>
        <row r="14">
          <cell r="C14">
            <v>0</v>
          </cell>
          <cell r="D14">
            <v>30337247.960000001</v>
          </cell>
          <cell r="E14">
            <v>7053888.8600000003</v>
          </cell>
          <cell r="F14">
            <v>569928162.72000003</v>
          </cell>
        </row>
        <row r="15">
          <cell r="C15">
            <v>0</v>
          </cell>
          <cell r="D15">
            <v>0</v>
          </cell>
          <cell r="E15">
            <v>3538371.88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16884.29</v>
          </cell>
          <cell r="F16">
            <v>0</v>
          </cell>
        </row>
        <row r="17">
          <cell r="C17">
            <v>1157469.6200000001</v>
          </cell>
          <cell r="D17">
            <v>6740673.9900000002</v>
          </cell>
          <cell r="E17">
            <v>172913245.19999999</v>
          </cell>
          <cell r="F17">
            <v>26807582.77</v>
          </cell>
        </row>
        <row r="18">
          <cell r="C18">
            <v>635.25</v>
          </cell>
          <cell r="D18">
            <v>24718.04</v>
          </cell>
          <cell r="E18">
            <v>5542023.3499999996</v>
          </cell>
          <cell r="F18">
            <v>1946496.89</v>
          </cell>
        </row>
        <row r="19">
          <cell r="C19">
            <v>0</v>
          </cell>
          <cell r="D19">
            <v>0</v>
          </cell>
          <cell r="E19">
            <v>633207.02</v>
          </cell>
          <cell r="F19">
            <v>0</v>
          </cell>
        </row>
        <row r="20">
          <cell r="C20">
            <v>815839.59</v>
          </cell>
          <cell r="D20">
            <v>15.4</v>
          </cell>
          <cell r="E20">
            <v>35204</v>
          </cell>
          <cell r="F20">
            <v>220000</v>
          </cell>
        </row>
        <row r="21">
          <cell r="C21">
            <v>0</v>
          </cell>
          <cell r="D21">
            <v>43809</v>
          </cell>
          <cell r="E21">
            <v>230441</v>
          </cell>
          <cell r="F21">
            <v>0</v>
          </cell>
        </row>
        <row r="22">
          <cell r="C22">
            <v>0</v>
          </cell>
          <cell r="D22">
            <v>50127.42</v>
          </cell>
          <cell r="E22">
            <v>27395</v>
          </cell>
          <cell r="F22">
            <v>2868399.82</v>
          </cell>
        </row>
        <row r="23">
          <cell r="C23">
            <v>0</v>
          </cell>
          <cell r="D23">
            <v>0</v>
          </cell>
          <cell r="E23">
            <v>65672.399999999994</v>
          </cell>
          <cell r="F23">
            <v>5000000</v>
          </cell>
        </row>
        <row r="24">
          <cell r="C24">
            <v>0</v>
          </cell>
          <cell r="D24">
            <v>91.59</v>
          </cell>
          <cell r="E24">
            <v>121474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98288</v>
          </cell>
          <cell r="F25">
            <v>71218.75</v>
          </cell>
        </row>
        <row r="26">
          <cell r="C26">
            <v>0</v>
          </cell>
          <cell r="D26">
            <v>0</v>
          </cell>
          <cell r="E26">
            <v>153634</v>
          </cell>
          <cell r="F26">
            <v>66392</v>
          </cell>
        </row>
        <row r="27">
          <cell r="C27">
            <v>0</v>
          </cell>
          <cell r="D27">
            <v>50523.05</v>
          </cell>
          <cell r="E27">
            <v>0</v>
          </cell>
          <cell r="F27">
            <v>50523.05</v>
          </cell>
        </row>
        <row r="28">
          <cell r="C28">
            <v>12103446.48</v>
          </cell>
          <cell r="D28">
            <v>0</v>
          </cell>
          <cell r="E28">
            <v>1957193.5</v>
          </cell>
          <cell r="F28">
            <v>0</v>
          </cell>
        </row>
        <row r="29">
          <cell r="C29">
            <v>11250000</v>
          </cell>
          <cell r="D29">
            <v>0</v>
          </cell>
          <cell r="E29">
            <v>2175075.96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23599.8</v>
          </cell>
          <cell r="D31">
            <v>82953.929999999993</v>
          </cell>
          <cell r="E31">
            <v>28164353.949999999</v>
          </cell>
          <cell r="F31">
            <v>0</v>
          </cell>
        </row>
        <row r="32">
          <cell r="C32">
            <v>0</v>
          </cell>
          <cell r="D32">
            <v>1062.72</v>
          </cell>
          <cell r="E32">
            <v>0</v>
          </cell>
          <cell r="F32">
            <v>70567.05</v>
          </cell>
        </row>
        <row r="33">
          <cell r="C33">
            <v>150.66</v>
          </cell>
          <cell r="D33">
            <v>195050.57</v>
          </cell>
          <cell r="E33">
            <v>1590938.99</v>
          </cell>
          <cell r="F33">
            <v>4667850.71</v>
          </cell>
        </row>
        <row r="34">
          <cell r="C34">
            <v>5049.07</v>
          </cell>
          <cell r="D34">
            <v>5601.44</v>
          </cell>
          <cell r="E34">
            <v>1714408.54</v>
          </cell>
          <cell r="F34">
            <v>101916.33</v>
          </cell>
        </row>
      </sheetData>
      <sheetData sheetId="45">
        <row r="17">
          <cell r="C17">
            <v>9048</v>
          </cell>
          <cell r="D17">
            <v>9202</v>
          </cell>
        </row>
      </sheetData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II.1.4"/>
      <sheetName val="n39_druk_konsolidacja(6)"/>
    </sheetNames>
    <sheetDataSet>
      <sheetData sheetId="0">
        <row r="17">
          <cell r="B17">
            <v>208457347.88</v>
          </cell>
          <cell r="C17">
            <v>224246069.03999999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34" workbookViewId="0">
      <selection activeCell="C54" sqref="C54:D54"/>
    </sheetView>
  </sheetViews>
  <sheetFormatPr defaultColWidth="9.140625" defaultRowHeight="15" x14ac:dyDescent="0.25"/>
  <cols>
    <col min="1" max="1" width="33.28515625" style="8" customWidth="1"/>
    <col min="2" max="2" width="21.42578125" style="8" customWidth="1"/>
    <col min="3" max="3" width="22" style="8" customWidth="1"/>
    <col min="4" max="4" width="36.140625" style="8" customWidth="1"/>
    <col min="5" max="5" width="22.28515625" style="8" customWidth="1"/>
    <col min="6" max="6" width="23.28515625" style="8" customWidth="1"/>
    <col min="7" max="7" width="14.5703125" style="7" customWidth="1"/>
    <col min="8" max="8" width="16" style="7" customWidth="1"/>
    <col min="9" max="9" width="11.85546875" style="8" bestFit="1" customWidth="1"/>
    <col min="10" max="10" width="17" style="8" bestFit="1" customWidth="1"/>
    <col min="11" max="16384" width="9.140625" style="8"/>
  </cols>
  <sheetData>
    <row r="1" spans="1:10" ht="15" customHeight="1" x14ac:dyDescent="0.25">
      <c r="A1" s="1" t="s">
        <v>0</v>
      </c>
      <c r="B1" s="2" t="s">
        <v>1</v>
      </c>
      <c r="C1" s="3"/>
      <c r="D1" s="4"/>
      <c r="E1" s="5" t="s">
        <v>2</v>
      </c>
      <c r="F1" s="6"/>
    </row>
    <row r="2" spans="1:10" x14ac:dyDescent="0.25">
      <c r="A2" s="9"/>
      <c r="B2" s="10"/>
      <c r="C2" s="11"/>
      <c r="D2" s="12"/>
      <c r="E2" s="13"/>
      <c r="F2" s="14"/>
    </row>
    <row r="3" spans="1:10" x14ac:dyDescent="0.25">
      <c r="A3" s="9"/>
      <c r="B3" s="10"/>
      <c r="C3" s="11"/>
      <c r="D3" s="12"/>
      <c r="E3" s="13"/>
      <c r="F3" s="14"/>
    </row>
    <row r="4" spans="1:10" ht="27" customHeight="1" x14ac:dyDescent="0.25">
      <c r="A4" s="9"/>
      <c r="B4" s="10"/>
      <c r="C4" s="11"/>
      <c r="D4" s="12"/>
      <c r="E4" s="13"/>
      <c r="F4" s="14"/>
    </row>
    <row r="5" spans="1:10" x14ac:dyDescent="0.25">
      <c r="A5" s="15" t="s">
        <v>3</v>
      </c>
      <c r="B5" s="16" t="s">
        <v>4</v>
      </c>
      <c r="C5" s="17"/>
      <c r="D5" s="18"/>
      <c r="E5" s="19"/>
      <c r="F5" s="14"/>
    </row>
    <row r="6" spans="1:10" ht="15.75" thickBot="1" x14ac:dyDescent="0.3">
      <c r="A6" s="20" t="s">
        <v>5</v>
      </c>
      <c r="B6" s="21"/>
      <c r="C6" s="22"/>
      <c r="D6" s="23"/>
      <c r="E6" s="24"/>
      <c r="F6" s="25"/>
    </row>
    <row r="7" spans="1:10" ht="22.5" customHeight="1" thickBot="1" x14ac:dyDescent="0.3">
      <c r="A7" s="26" t="s">
        <v>6</v>
      </c>
      <c r="B7" s="26" t="s">
        <v>7</v>
      </c>
      <c r="C7" s="26" t="s">
        <v>8</v>
      </c>
      <c r="D7" s="26" t="s">
        <v>9</v>
      </c>
      <c r="E7" s="26" t="s">
        <v>7</v>
      </c>
      <c r="F7" s="26" t="s">
        <v>8</v>
      </c>
    </row>
    <row r="8" spans="1:10" ht="17.25" customHeight="1" x14ac:dyDescent="0.25">
      <c r="A8" s="27" t="s">
        <v>10</v>
      </c>
      <c r="B8" s="28">
        <f>B9+B10+B20+B21+B25+B26</f>
        <v>18092399388.399998</v>
      </c>
      <c r="C8" s="28">
        <f>C9+C10+C20+C21+C25+C26</f>
        <v>18931386067.329998</v>
      </c>
      <c r="D8" s="27" t="s">
        <v>11</v>
      </c>
      <c r="E8" s="28">
        <f>E9+E10+E13+E14</f>
        <v>16047992070.6</v>
      </c>
      <c r="F8" s="28">
        <f>F9+F10+F13+F14</f>
        <v>16873524097.380001</v>
      </c>
      <c r="G8" s="29"/>
      <c r="H8" s="29"/>
      <c r="I8" s="30"/>
      <c r="J8" s="30"/>
    </row>
    <row r="9" spans="1:10" ht="27" customHeight="1" x14ac:dyDescent="0.25">
      <c r="A9" s="31" t="s">
        <v>12</v>
      </c>
      <c r="B9" s="32">
        <v>32943027.129999999</v>
      </c>
      <c r="C9" s="32">
        <v>34299867.799999997</v>
      </c>
      <c r="D9" s="31" t="s">
        <v>13</v>
      </c>
      <c r="E9" s="32">
        <v>2033160088.25</v>
      </c>
      <c r="F9" s="32">
        <v>2217296800.8400002</v>
      </c>
      <c r="G9" s="29"/>
      <c r="H9" s="29"/>
      <c r="I9" s="30"/>
      <c r="J9" s="30"/>
    </row>
    <row r="10" spans="1:10" ht="16.5" customHeight="1" x14ac:dyDescent="0.25">
      <c r="A10" s="31" t="s">
        <v>14</v>
      </c>
      <c r="B10" s="32">
        <f>B11+B18+B19</f>
        <v>12236472382.809999</v>
      </c>
      <c r="C10" s="32">
        <f>C11+C18+C19</f>
        <v>12570912899.25</v>
      </c>
      <c r="D10" s="31" t="s">
        <v>15</v>
      </c>
      <c r="E10" s="32">
        <f>E11+E12</f>
        <v>14014831982.35</v>
      </c>
      <c r="F10" s="32">
        <f>F11+F12</f>
        <v>14656227296.540001</v>
      </c>
      <c r="G10" s="29"/>
      <c r="H10" s="29"/>
      <c r="I10" s="30"/>
      <c r="J10" s="30"/>
    </row>
    <row r="11" spans="1:10" ht="16.5" customHeight="1" x14ac:dyDescent="0.25">
      <c r="A11" s="31" t="s">
        <v>16</v>
      </c>
      <c r="B11" s="32">
        <f>B12+SUM(B14:B17)</f>
        <v>10762286461.33</v>
      </c>
      <c r="C11" s="32">
        <f>C12+SUM(C14:C17)</f>
        <v>11174760768.710001</v>
      </c>
      <c r="D11" s="33" t="s">
        <v>17</v>
      </c>
      <c r="E11" s="34">
        <f>16696151599.08-2681319616.73</f>
        <v>14014831982.35</v>
      </c>
      <c r="F11" s="34">
        <f>16454288263.04-1798060966.5</f>
        <v>14656227296.540001</v>
      </c>
      <c r="G11" s="29"/>
      <c r="H11" s="29"/>
      <c r="I11" s="30"/>
      <c r="J11" s="30"/>
    </row>
    <row r="12" spans="1:10" ht="16.5" customHeight="1" x14ac:dyDescent="0.25">
      <c r="A12" s="33" t="s">
        <v>18</v>
      </c>
      <c r="B12" s="34">
        <v>8430060996.3500004</v>
      </c>
      <c r="C12" s="34">
        <v>8872086971.5900002</v>
      </c>
      <c r="D12" s="33" t="s">
        <v>19</v>
      </c>
      <c r="E12" s="34">
        <f>-2681319616.73+2681319616.73</f>
        <v>0</v>
      </c>
      <c r="F12" s="34">
        <f>-1798060966.5+1798060966.5</f>
        <v>0</v>
      </c>
      <c r="G12" s="29"/>
      <c r="H12" s="29"/>
      <c r="I12" s="30"/>
      <c r="J12" s="30"/>
    </row>
    <row r="13" spans="1:10" ht="75" x14ac:dyDescent="0.25">
      <c r="A13" s="33" t="s">
        <v>20</v>
      </c>
      <c r="B13" s="34">
        <v>176968132.34999999</v>
      </c>
      <c r="C13" s="34">
        <v>175232074.28</v>
      </c>
      <c r="D13" s="31" t="s">
        <v>21</v>
      </c>
      <c r="E13" s="32">
        <v>0</v>
      </c>
      <c r="F13" s="32">
        <v>0</v>
      </c>
      <c r="G13" s="29"/>
      <c r="H13" s="29"/>
      <c r="I13" s="30"/>
      <c r="J13" s="30"/>
    </row>
    <row r="14" spans="1:10" ht="30" x14ac:dyDescent="0.25">
      <c r="A14" s="33" t="s">
        <v>22</v>
      </c>
      <c r="B14" s="34">
        <v>2246776159.1100001</v>
      </c>
      <c r="C14" s="34">
        <v>2229488016.0700002</v>
      </c>
      <c r="D14" s="31" t="s">
        <v>23</v>
      </c>
      <c r="E14" s="32">
        <v>0</v>
      </c>
      <c r="F14" s="32">
        <v>0</v>
      </c>
      <c r="G14" s="29"/>
      <c r="H14" s="29"/>
      <c r="I14" s="30"/>
      <c r="J14" s="30"/>
    </row>
    <row r="15" spans="1:10" ht="30" x14ac:dyDescent="0.25">
      <c r="A15" s="33" t="s">
        <v>24</v>
      </c>
      <c r="B15" s="34">
        <v>43401835.93</v>
      </c>
      <c r="C15" s="34">
        <v>39968786.07</v>
      </c>
      <c r="D15" s="31" t="s">
        <v>25</v>
      </c>
      <c r="E15" s="32">
        <v>0</v>
      </c>
      <c r="F15" s="32">
        <v>0</v>
      </c>
      <c r="G15" s="29"/>
      <c r="H15" s="29"/>
      <c r="I15" s="30"/>
      <c r="J15" s="30"/>
    </row>
    <row r="16" spans="1:10" x14ac:dyDescent="0.25">
      <c r="A16" s="33" t="s">
        <v>26</v>
      </c>
      <c r="B16" s="34">
        <v>691635.65</v>
      </c>
      <c r="C16" s="34">
        <v>487531.19</v>
      </c>
      <c r="D16" s="31" t="s">
        <v>27</v>
      </c>
      <c r="E16" s="32">
        <v>0</v>
      </c>
      <c r="F16" s="32">
        <v>0</v>
      </c>
      <c r="G16" s="29"/>
      <c r="H16" s="29"/>
      <c r="I16" s="30"/>
      <c r="J16" s="30"/>
    </row>
    <row r="17" spans="1:10" ht="30" x14ac:dyDescent="0.25">
      <c r="A17" s="33" t="s">
        <v>28</v>
      </c>
      <c r="B17" s="34">
        <v>41355834.289999999</v>
      </c>
      <c r="C17" s="34">
        <v>32729463.789999999</v>
      </c>
      <c r="D17" s="31" t="s">
        <v>29</v>
      </c>
      <c r="E17" s="35">
        <f>E18+E19+E30+E31</f>
        <v>2589894618.6600003</v>
      </c>
      <c r="F17" s="35">
        <f>F18+F19+F30+F31</f>
        <v>2575053035.7599998</v>
      </c>
      <c r="G17" s="29"/>
      <c r="H17" s="29"/>
      <c r="I17" s="30"/>
      <c r="J17" s="30"/>
    </row>
    <row r="18" spans="1:10" ht="30" x14ac:dyDescent="0.25">
      <c r="A18" s="31" t="s">
        <v>30</v>
      </c>
      <c r="B18" s="32">
        <v>1474185921.48</v>
      </c>
      <c r="C18" s="32">
        <v>1396152130.54</v>
      </c>
      <c r="D18" s="33" t="s">
        <v>31</v>
      </c>
      <c r="E18" s="32">
        <f>795933.49-3349.48</f>
        <v>792584.01</v>
      </c>
      <c r="F18" s="32">
        <f>1229825.65-609942.83</f>
        <v>619882.81999999995</v>
      </c>
      <c r="G18" s="29"/>
      <c r="H18" s="29"/>
      <c r="I18" s="30"/>
      <c r="J18" s="30"/>
    </row>
    <row r="19" spans="1:10" ht="32.25" customHeight="1" x14ac:dyDescent="0.25">
      <c r="A19" s="31" t="s">
        <v>32</v>
      </c>
      <c r="B19" s="32">
        <v>0</v>
      </c>
      <c r="C19" s="32">
        <v>0</v>
      </c>
      <c r="D19" s="31" t="s">
        <v>33</v>
      </c>
      <c r="E19" s="36">
        <f>SUM(E20:E27)</f>
        <v>908812084.59000003</v>
      </c>
      <c r="F19" s="36">
        <f>SUM(F20:F27)</f>
        <v>851128363.51999998</v>
      </c>
      <c r="G19" s="29"/>
      <c r="H19" s="29"/>
      <c r="I19" s="30"/>
      <c r="J19" s="30"/>
    </row>
    <row r="20" spans="1:10" x14ac:dyDescent="0.25">
      <c r="A20" s="31" t="s">
        <v>34</v>
      </c>
      <c r="B20" s="32">
        <f>777558083.23-3349.48</f>
        <v>777554733.75</v>
      </c>
      <c r="C20" s="32">
        <f>751222791.98-609942.83</f>
        <v>750612849.14999998</v>
      </c>
      <c r="D20" s="33" t="s">
        <v>35</v>
      </c>
      <c r="E20" s="34">
        <v>113664174.7</v>
      </c>
      <c r="F20" s="34">
        <v>136115588.03</v>
      </c>
      <c r="G20" s="29"/>
      <c r="H20" s="29"/>
      <c r="I20" s="30"/>
      <c r="J20" s="30"/>
    </row>
    <row r="21" spans="1:10" ht="30" x14ac:dyDescent="0.25">
      <c r="A21" s="31" t="s">
        <v>36</v>
      </c>
      <c r="B21" s="32">
        <f>SUM(B22:B24)</f>
        <v>5023935820.1499996</v>
      </c>
      <c r="C21" s="32">
        <f>SUM(C22:C24)</f>
        <v>5557145013.1300001</v>
      </c>
      <c r="D21" s="33" t="s">
        <v>37</v>
      </c>
      <c r="E21" s="34">
        <v>11570817.130000001</v>
      </c>
      <c r="F21" s="34">
        <v>10704366.949999999</v>
      </c>
      <c r="G21" s="29"/>
      <c r="H21" s="29"/>
      <c r="I21" s="30"/>
      <c r="J21" s="30"/>
    </row>
    <row r="22" spans="1:10" ht="30" x14ac:dyDescent="0.25">
      <c r="A22" s="33" t="s">
        <v>38</v>
      </c>
      <c r="B22" s="34">
        <v>5023935820.1499996</v>
      </c>
      <c r="C22" s="34">
        <v>5557145013.1300001</v>
      </c>
      <c r="D22" s="33" t="s">
        <v>39</v>
      </c>
      <c r="E22" s="34">
        <v>45091269.530000001</v>
      </c>
      <c r="F22" s="34">
        <v>52865827.700000003</v>
      </c>
      <c r="G22" s="29"/>
      <c r="H22" s="29"/>
      <c r="I22" s="30"/>
      <c r="J22" s="30"/>
    </row>
    <row r="23" spans="1:10" ht="14.25" customHeight="1" x14ac:dyDescent="0.25">
      <c r="A23" s="33" t="s">
        <v>40</v>
      </c>
      <c r="B23" s="34">
        <v>0</v>
      </c>
      <c r="C23" s="34">
        <v>0</v>
      </c>
      <c r="D23" s="33" t="s">
        <v>41</v>
      </c>
      <c r="E23" s="34">
        <v>42068657.130000003</v>
      </c>
      <c r="F23" s="34">
        <v>46258068.310000002</v>
      </c>
      <c r="G23" s="29"/>
      <c r="H23" s="29"/>
      <c r="I23" s="30"/>
      <c r="J23" s="30"/>
    </row>
    <row r="24" spans="1:10" ht="30" x14ac:dyDescent="0.25">
      <c r="A24" s="33" t="s">
        <v>42</v>
      </c>
      <c r="B24" s="34">
        <v>0</v>
      </c>
      <c r="C24" s="34">
        <v>0</v>
      </c>
      <c r="D24" s="33" t="s">
        <v>43</v>
      </c>
      <c r="E24" s="34">
        <f>871844069.53-332371799.35</f>
        <v>539472270.17999995</v>
      </c>
      <c r="F24" s="34">
        <f>671138370.26-242171241.49</f>
        <v>428967128.76999998</v>
      </c>
      <c r="G24" s="29"/>
      <c r="H24" s="29"/>
      <c r="I24" s="30"/>
      <c r="J24" s="30"/>
    </row>
    <row r="25" spans="1:10" ht="30" x14ac:dyDescent="0.25">
      <c r="A25" s="31" t="s">
        <v>44</v>
      </c>
      <c r="B25" s="32">
        <v>21493424.559999999</v>
      </c>
      <c r="C25" s="32">
        <v>18415438</v>
      </c>
      <c r="D25" s="33" t="s">
        <v>45</v>
      </c>
      <c r="E25" s="34">
        <v>146599754.81</v>
      </c>
      <c r="F25" s="34">
        <v>166262123.36000001</v>
      </c>
      <c r="G25" s="29"/>
      <c r="H25" s="29"/>
      <c r="I25" s="30"/>
      <c r="J25" s="30"/>
    </row>
    <row r="26" spans="1:10" ht="45" x14ac:dyDescent="0.25">
      <c r="A26" s="31" t="s">
        <v>46</v>
      </c>
      <c r="B26" s="32">
        <v>0</v>
      </c>
      <c r="C26" s="32">
        <v>0</v>
      </c>
      <c r="D26" s="33" t="s">
        <v>47</v>
      </c>
      <c r="E26" s="34">
        <v>2422801.02</v>
      </c>
      <c r="F26" s="34">
        <v>833235.03</v>
      </c>
      <c r="G26" s="29"/>
      <c r="H26" s="29"/>
      <c r="I26" s="30"/>
      <c r="J26" s="30"/>
    </row>
    <row r="27" spans="1:10" x14ac:dyDescent="0.25">
      <c r="A27" s="31" t="s">
        <v>48</v>
      </c>
      <c r="B27" s="32">
        <f>B28+B33+B39+B47</f>
        <v>545487300.8599999</v>
      </c>
      <c r="C27" s="32">
        <f>C28+C33+C39+C47</f>
        <v>517191065.81</v>
      </c>
      <c r="D27" s="33" t="s">
        <v>49</v>
      </c>
      <c r="E27" s="34">
        <f>SUM(E28:E29)</f>
        <v>7922340.0899999999</v>
      </c>
      <c r="F27" s="34">
        <f>SUM(F28:F29)</f>
        <v>9122025.3699999992</v>
      </c>
      <c r="G27" s="29"/>
      <c r="H27" s="29"/>
      <c r="I27" s="30"/>
      <c r="J27" s="30"/>
    </row>
    <row r="28" spans="1:10" ht="30" x14ac:dyDescent="0.25">
      <c r="A28" s="31" t="s">
        <v>50</v>
      </c>
      <c r="B28" s="32">
        <f>SUM(B29:B32)</f>
        <v>1580847.34</v>
      </c>
      <c r="C28" s="32">
        <f>SUM(C29:C32)</f>
        <v>2112275.7999999998</v>
      </c>
      <c r="D28" s="33" t="s">
        <v>51</v>
      </c>
      <c r="E28" s="34">
        <v>7922340.0899999999</v>
      </c>
      <c r="F28" s="34">
        <v>9122025.3699999992</v>
      </c>
      <c r="G28" s="29"/>
      <c r="H28" s="29"/>
      <c r="I28" s="30"/>
      <c r="J28" s="30"/>
    </row>
    <row r="29" spans="1:10" x14ac:dyDescent="0.25">
      <c r="A29" s="33" t="s">
        <v>52</v>
      </c>
      <c r="B29" s="34">
        <v>1580847.34</v>
      </c>
      <c r="C29" s="34">
        <v>1720430.5</v>
      </c>
      <c r="D29" s="33" t="s">
        <v>53</v>
      </c>
      <c r="E29" s="34">
        <v>0</v>
      </c>
      <c r="F29" s="34">
        <v>0</v>
      </c>
      <c r="G29" s="29"/>
      <c r="H29" s="29"/>
      <c r="I29" s="30"/>
      <c r="J29" s="30"/>
    </row>
    <row r="30" spans="1:10" x14ac:dyDescent="0.25">
      <c r="A30" s="33" t="s">
        <v>54</v>
      </c>
      <c r="B30" s="34">
        <v>0</v>
      </c>
      <c r="C30" s="34">
        <v>0</v>
      </c>
      <c r="D30" s="31" t="s">
        <v>55</v>
      </c>
      <c r="E30" s="32">
        <v>1560184829.8</v>
      </c>
      <c r="F30" s="32">
        <v>1582486965.03</v>
      </c>
      <c r="G30" s="29"/>
      <c r="H30" s="29"/>
      <c r="I30" s="30"/>
      <c r="J30" s="30"/>
    </row>
    <row r="31" spans="1:10" x14ac:dyDescent="0.25">
      <c r="A31" s="33" t="s">
        <v>56</v>
      </c>
      <c r="B31" s="34">
        <v>0</v>
      </c>
      <c r="C31" s="37">
        <v>0</v>
      </c>
      <c r="D31" s="31" t="s">
        <v>57</v>
      </c>
      <c r="E31" s="32">
        <f>E32+E33</f>
        <v>120105120.26000001</v>
      </c>
      <c r="F31" s="32">
        <f>F32+F33</f>
        <v>140817824.38999999</v>
      </c>
      <c r="G31" s="29"/>
      <c r="H31" s="29"/>
      <c r="I31" s="30"/>
      <c r="J31" s="30"/>
    </row>
    <row r="32" spans="1:10" ht="30" x14ac:dyDescent="0.25">
      <c r="A32" s="33" t="s">
        <v>58</v>
      </c>
      <c r="B32" s="34">
        <v>0</v>
      </c>
      <c r="C32" s="34">
        <v>391845.3</v>
      </c>
      <c r="D32" s="33" t="s">
        <v>59</v>
      </c>
      <c r="E32" s="34">
        <v>120105120.26000001</v>
      </c>
      <c r="F32" s="34">
        <v>140817824.38999999</v>
      </c>
      <c r="G32" s="29"/>
      <c r="H32" s="29"/>
      <c r="I32" s="30"/>
      <c r="J32" s="30"/>
    </row>
    <row r="33" spans="1:10" x14ac:dyDescent="0.25">
      <c r="A33" s="31" t="s">
        <v>60</v>
      </c>
      <c r="B33" s="32">
        <f>SUM(B34:B38)</f>
        <v>349398294.03999996</v>
      </c>
      <c r="C33" s="32">
        <f>SUM(C34:C38)</f>
        <v>281341722.81999999</v>
      </c>
      <c r="D33" s="33" t="s">
        <v>61</v>
      </c>
      <c r="E33" s="34">
        <v>0</v>
      </c>
      <c r="F33" s="34">
        <v>0</v>
      </c>
      <c r="G33" s="29"/>
      <c r="H33" s="29"/>
      <c r="I33" s="30"/>
      <c r="J33" s="30"/>
    </row>
    <row r="34" spans="1:10" x14ac:dyDescent="0.25">
      <c r="A34" s="33" t="s">
        <v>62</v>
      </c>
      <c r="B34" s="34">
        <v>4544055.7</v>
      </c>
      <c r="C34" s="34">
        <v>6267281.1900000004</v>
      </c>
      <c r="D34" s="33"/>
      <c r="E34" s="32"/>
      <c r="F34" s="32"/>
      <c r="G34" s="29"/>
      <c r="H34" s="29"/>
      <c r="I34" s="30"/>
      <c r="J34" s="30"/>
    </row>
    <row r="35" spans="1:10" x14ac:dyDescent="0.25">
      <c r="A35" s="33" t="s">
        <v>63</v>
      </c>
      <c r="B35" s="34">
        <v>52533024.710000001</v>
      </c>
      <c r="C35" s="34">
        <v>29345836.539999999</v>
      </c>
      <c r="D35" s="33"/>
      <c r="E35" s="32"/>
      <c r="F35" s="32"/>
      <c r="G35" s="29"/>
      <c r="H35" s="29"/>
      <c r="I35" s="30"/>
      <c r="J35" s="30"/>
    </row>
    <row r="36" spans="1:10" ht="30" x14ac:dyDescent="0.25">
      <c r="A36" s="33" t="s">
        <v>64</v>
      </c>
      <c r="B36" s="34">
        <v>129.99</v>
      </c>
      <c r="C36" s="34">
        <v>129.99</v>
      </c>
      <c r="D36" s="33"/>
      <c r="E36" s="32"/>
      <c r="F36" s="32"/>
      <c r="G36" s="29"/>
      <c r="H36" s="29"/>
      <c r="I36" s="30"/>
      <c r="J36" s="30"/>
    </row>
    <row r="37" spans="1:10" x14ac:dyDescent="0.25">
      <c r="A37" s="33" t="s">
        <v>65</v>
      </c>
      <c r="B37" s="34">
        <f>624692882.99-332371799.35</f>
        <v>292321083.63999999</v>
      </c>
      <c r="C37" s="34">
        <f>487899459.42-242171241.49</f>
        <v>245728217.93000001</v>
      </c>
      <c r="D37" s="31"/>
      <c r="E37" s="32"/>
      <c r="F37" s="32"/>
      <c r="G37" s="29"/>
      <c r="H37" s="29"/>
      <c r="I37" s="30"/>
    </row>
    <row r="38" spans="1:10" ht="45" x14ac:dyDescent="0.25">
      <c r="A38" s="33" t="s">
        <v>66</v>
      </c>
      <c r="B38" s="34">
        <v>0</v>
      </c>
      <c r="C38" s="34">
        <v>257.17</v>
      </c>
      <c r="D38" s="33"/>
      <c r="E38" s="38"/>
      <c r="F38" s="38"/>
      <c r="G38" s="29"/>
      <c r="H38" s="29"/>
      <c r="I38" s="30"/>
    </row>
    <row r="39" spans="1:10" ht="28.5" customHeight="1" x14ac:dyDescent="0.25">
      <c r="A39" s="31" t="s">
        <v>67</v>
      </c>
      <c r="B39" s="32">
        <f>SUM(B40:B46)</f>
        <v>164333909.23000002</v>
      </c>
      <c r="C39" s="32">
        <f>SUM(C40:C46)</f>
        <v>181279377.06999999</v>
      </c>
      <c r="D39" s="33"/>
      <c r="E39" s="39"/>
      <c r="F39" s="39"/>
      <c r="G39" s="29"/>
      <c r="H39" s="29"/>
      <c r="I39" s="30"/>
    </row>
    <row r="40" spans="1:10" ht="18.75" customHeight="1" x14ac:dyDescent="0.25">
      <c r="A40" s="33" t="s">
        <v>68</v>
      </c>
      <c r="B40" s="34">
        <v>0</v>
      </c>
      <c r="C40" s="34">
        <v>0</v>
      </c>
      <c r="D40" s="33"/>
      <c r="E40" s="39"/>
      <c r="F40" s="39"/>
      <c r="G40" s="29"/>
      <c r="H40" s="29"/>
      <c r="I40" s="30"/>
    </row>
    <row r="41" spans="1:10" ht="31.5" customHeight="1" x14ac:dyDescent="0.25">
      <c r="A41" s="33" t="s">
        <v>69</v>
      </c>
      <c r="B41" s="34">
        <v>17309270.170000002</v>
      </c>
      <c r="C41" s="34">
        <v>13113647.25</v>
      </c>
      <c r="D41" s="33"/>
      <c r="E41" s="39"/>
      <c r="F41" s="39"/>
      <c r="G41" s="29"/>
      <c r="H41" s="29"/>
      <c r="I41" s="30"/>
    </row>
    <row r="42" spans="1:10" ht="30" x14ac:dyDescent="0.25">
      <c r="A42" s="33" t="s">
        <v>70</v>
      </c>
      <c r="B42" s="34">
        <v>0</v>
      </c>
      <c r="C42" s="34">
        <v>0</v>
      </c>
      <c r="D42" s="33"/>
      <c r="E42" s="39"/>
      <c r="F42" s="39"/>
      <c r="G42" s="29"/>
      <c r="H42" s="29"/>
      <c r="I42" s="30"/>
    </row>
    <row r="43" spans="1:10" ht="18.75" customHeight="1" x14ac:dyDescent="0.25">
      <c r="A43" s="33" t="s">
        <v>71</v>
      </c>
      <c r="B43" s="38">
        <v>147024639.06</v>
      </c>
      <c r="C43" s="38">
        <v>168165729.81999999</v>
      </c>
      <c r="D43" s="33"/>
      <c r="E43" s="39"/>
      <c r="F43" s="39"/>
      <c r="G43" s="29"/>
      <c r="H43" s="29"/>
      <c r="I43" s="30"/>
    </row>
    <row r="44" spans="1:10" ht="16.5" customHeight="1" x14ac:dyDescent="0.25">
      <c r="A44" s="33" t="s">
        <v>72</v>
      </c>
      <c r="B44" s="34">
        <v>0</v>
      </c>
      <c r="C44" s="34">
        <v>0</v>
      </c>
      <c r="D44" s="33"/>
      <c r="E44" s="39"/>
      <c r="F44" s="39"/>
      <c r="G44" s="29"/>
      <c r="H44" s="29"/>
      <c r="I44" s="30"/>
    </row>
    <row r="45" spans="1:10" ht="18.75" customHeight="1" x14ac:dyDescent="0.25">
      <c r="A45" s="33" t="s">
        <v>73</v>
      </c>
      <c r="B45" s="34">
        <v>0</v>
      </c>
      <c r="C45" s="34">
        <v>0</v>
      </c>
      <c r="D45" s="33"/>
      <c r="E45" s="39"/>
      <c r="F45" s="39"/>
      <c r="G45" s="29"/>
      <c r="H45" s="29"/>
      <c r="I45" s="30"/>
    </row>
    <row r="46" spans="1:10" ht="26.45" customHeight="1" x14ac:dyDescent="0.25">
      <c r="A46" s="33" t="s">
        <v>74</v>
      </c>
      <c r="B46" s="34">
        <v>0</v>
      </c>
      <c r="C46" s="34">
        <v>0</v>
      </c>
      <c r="D46" s="33"/>
      <c r="E46" s="39"/>
      <c r="F46" s="39"/>
      <c r="G46" s="29"/>
      <c r="H46" s="29"/>
      <c r="I46" s="30"/>
    </row>
    <row r="47" spans="1:10" ht="18.75" customHeight="1" thickBot="1" x14ac:dyDescent="0.3">
      <c r="A47" s="40" t="s">
        <v>75</v>
      </c>
      <c r="B47" s="41">
        <v>30174250.25</v>
      </c>
      <c r="C47" s="41">
        <v>52457690.119999997</v>
      </c>
      <c r="D47" s="42"/>
      <c r="E47" s="43"/>
      <c r="F47" s="43"/>
      <c r="G47" s="29"/>
      <c r="H47" s="29"/>
      <c r="I47" s="30"/>
    </row>
    <row r="48" spans="1:10" ht="17.25" customHeight="1" thickBot="1" x14ac:dyDescent="0.3">
      <c r="A48" s="44" t="s">
        <v>76</v>
      </c>
      <c r="B48" s="45">
        <f>B8+B27</f>
        <v>18637886689.259998</v>
      </c>
      <c r="C48" s="45">
        <f>C8+C27</f>
        <v>19448577133.139999</v>
      </c>
      <c r="D48" s="44" t="s">
        <v>77</v>
      </c>
      <c r="E48" s="45">
        <f>E8+E15+E16+E17</f>
        <v>18637886689.260002</v>
      </c>
      <c r="F48" s="45">
        <f>F8+F15+F16+F17</f>
        <v>19448577133.139999</v>
      </c>
      <c r="G48" s="29"/>
      <c r="H48" s="29"/>
      <c r="I48" s="30"/>
    </row>
    <row r="49" spans="1:6" x14ac:dyDescent="0.25">
      <c r="A49" s="46"/>
      <c r="B49" s="46"/>
      <c r="C49" s="46"/>
      <c r="D49" s="46"/>
      <c r="E49" s="46"/>
      <c r="F49" s="46"/>
    </row>
    <row r="50" spans="1:6" s="50" customFormat="1" x14ac:dyDescent="0.25">
      <c r="A50" s="47"/>
      <c r="B50" s="48"/>
      <c r="C50" s="48"/>
      <c r="D50" s="47"/>
      <c r="E50" s="49">
        <f>E48-B48</f>
        <v>0</v>
      </c>
      <c r="F50" s="49">
        <f>F48-C48</f>
        <v>0</v>
      </c>
    </row>
    <row r="51" spans="1:6" x14ac:dyDescent="0.25">
      <c r="A51" s="51"/>
      <c r="B51" s="51"/>
      <c r="C51" s="51"/>
      <c r="D51" s="51"/>
      <c r="E51" s="51"/>
      <c r="F51" s="51"/>
    </row>
    <row r="52" spans="1:6" x14ac:dyDescent="0.25">
      <c r="A52" s="51"/>
      <c r="B52" s="51"/>
      <c r="C52" s="51"/>
      <c r="D52" s="51"/>
      <c r="E52" s="51"/>
      <c r="F52" s="51"/>
    </row>
    <row r="53" spans="1:6" ht="15" customHeight="1" x14ac:dyDescent="0.25">
      <c r="A53" s="51"/>
      <c r="B53" s="51"/>
      <c r="C53" s="52">
        <v>45057</v>
      </c>
      <c r="D53" s="52"/>
      <c r="E53" s="51"/>
      <c r="F53" s="51"/>
    </row>
    <row r="54" spans="1:6" ht="30" x14ac:dyDescent="0.25">
      <c r="A54" s="53" t="s">
        <v>78</v>
      </c>
      <c r="B54" s="53"/>
      <c r="C54" s="54" t="s">
        <v>79</v>
      </c>
      <c r="D54" s="55"/>
      <c r="E54" s="53"/>
      <c r="F54" s="53" t="s">
        <v>80</v>
      </c>
    </row>
    <row r="55" spans="1:6" x14ac:dyDescent="0.25">
      <c r="A55" s="53" t="s">
        <v>81</v>
      </c>
      <c r="E55" s="53"/>
      <c r="F55" s="53" t="s">
        <v>82</v>
      </c>
    </row>
    <row r="56" spans="1:6" x14ac:dyDescent="0.25">
      <c r="A56" s="53"/>
      <c r="B56" s="53"/>
      <c r="C56" s="53"/>
      <c r="E56" s="53"/>
    </row>
    <row r="57" spans="1:6" x14ac:dyDescent="0.25">
      <c r="A57" s="56"/>
      <c r="B57" s="53"/>
      <c r="C57" s="53"/>
      <c r="E57" s="53"/>
    </row>
    <row r="58" spans="1:6" x14ac:dyDescent="0.25">
      <c r="A58" s="53"/>
      <c r="B58" s="53"/>
      <c r="C58" s="53"/>
      <c r="E58" s="53"/>
    </row>
    <row r="63" spans="1:6" x14ac:dyDescent="0.25">
      <c r="A63" s="57"/>
    </row>
  </sheetData>
  <mergeCells count="7">
    <mergeCell ref="C54:D54"/>
    <mergeCell ref="A1:A4"/>
    <mergeCell ref="B1:D4"/>
    <mergeCell ref="E1:F6"/>
    <mergeCell ref="B5:D6"/>
    <mergeCell ref="A49:F49"/>
    <mergeCell ref="C53:D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19" workbookViewId="0">
      <selection activeCell="I34" sqref="I34"/>
    </sheetView>
  </sheetViews>
  <sheetFormatPr defaultColWidth="9.140625" defaultRowHeight="15" x14ac:dyDescent="0.25"/>
  <cols>
    <col min="1" max="1" width="35.28515625" style="8" customWidth="1"/>
    <col min="2" max="2" width="29.28515625" style="8" customWidth="1"/>
    <col min="3" max="3" width="29.7109375" style="8" customWidth="1"/>
    <col min="4" max="4" width="26.42578125" style="8" customWidth="1"/>
    <col min="5" max="5" width="27.5703125" style="7" customWidth="1"/>
    <col min="6" max="6" width="9.140625" style="7"/>
    <col min="7" max="7" width="12.7109375" style="7" customWidth="1"/>
    <col min="8" max="9" width="14.42578125" style="8" customWidth="1"/>
    <col min="10" max="16384" width="9.140625" style="8"/>
  </cols>
  <sheetData>
    <row r="1" spans="1:15" ht="29.25" customHeight="1" x14ac:dyDescent="0.25">
      <c r="A1" s="1" t="s">
        <v>0</v>
      </c>
      <c r="B1" s="58" t="s">
        <v>83</v>
      </c>
      <c r="C1" s="59"/>
      <c r="D1" s="1" t="s">
        <v>84</v>
      </c>
    </row>
    <row r="2" spans="1:15" x14ac:dyDescent="0.25">
      <c r="A2" s="9"/>
      <c r="B2" s="60" t="s">
        <v>85</v>
      </c>
      <c r="C2" s="61"/>
      <c r="D2" s="9"/>
    </row>
    <row r="3" spans="1:15" ht="21" customHeight="1" x14ac:dyDescent="0.25">
      <c r="A3" s="9"/>
      <c r="B3" s="60" t="s">
        <v>86</v>
      </c>
      <c r="C3" s="61"/>
      <c r="D3" s="9"/>
    </row>
    <row r="4" spans="1:15" ht="16.899999999999999" customHeight="1" x14ac:dyDescent="0.25">
      <c r="A4" s="9"/>
      <c r="B4" s="60"/>
      <c r="C4" s="61"/>
      <c r="D4" s="9"/>
    </row>
    <row r="5" spans="1:15" x14ac:dyDescent="0.25">
      <c r="A5" s="15" t="s">
        <v>3</v>
      </c>
      <c r="B5" s="16" t="s">
        <v>4</v>
      </c>
      <c r="C5" s="18"/>
      <c r="D5" s="62"/>
    </row>
    <row r="6" spans="1:15" ht="15.75" thickBot="1" x14ac:dyDescent="0.3">
      <c r="A6" s="20" t="s">
        <v>5</v>
      </c>
      <c r="B6" s="21"/>
      <c r="C6" s="23"/>
      <c r="D6" s="63"/>
    </row>
    <row r="7" spans="1:15" ht="31.5" customHeight="1" thickBot="1" x14ac:dyDescent="0.3">
      <c r="A7" s="64"/>
      <c r="B7" s="65"/>
      <c r="C7" s="26" t="s">
        <v>87</v>
      </c>
      <c r="D7" s="66" t="s">
        <v>88</v>
      </c>
      <c r="J7" s="67"/>
      <c r="K7" s="67"/>
      <c r="L7" s="67"/>
      <c r="M7" s="67"/>
      <c r="N7" s="67"/>
      <c r="O7" s="67"/>
    </row>
    <row r="8" spans="1:15" ht="14.25" customHeight="1" x14ac:dyDescent="0.25">
      <c r="A8" s="68" t="s">
        <v>89</v>
      </c>
      <c r="B8" s="69"/>
      <c r="C8" s="70">
        <f>SUM(C9:C14)</f>
        <v>19133978237.509998</v>
      </c>
      <c r="D8" s="70">
        <f>SUM(D9:D14)</f>
        <v>18678534948.169998</v>
      </c>
      <c r="E8" s="29"/>
      <c r="F8" s="29"/>
      <c r="G8" s="71"/>
      <c r="H8" s="72"/>
      <c r="I8" s="72"/>
      <c r="J8" s="67"/>
      <c r="K8" s="67"/>
      <c r="L8" s="67"/>
      <c r="M8" s="67"/>
      <c r="N8" s="67"/>
      <c r="O8" s="67"/>
    </row>
    <row r="9" spans="1:15" ht="14.25" customHeight="1" x14ac:dyDescent="0.25">
      <c r="A9" s="73" t="s">
        <v>90</v>
      </c>
      <c r="B9" s="74"/>
      <c r="C9" s="34">
        <f>372963723.66-25091.41</f>
        <v>372938632.25</v>
      </c>
      <c r="D9" s="34">
        <f>385183619.1-46172.78</f>
        <v>385137446.32000005</v>
      </c>
      <c r="E9" s="29"/>
      <c r="F9" s="29"/>
      <c r="G9" s="75"/>
      <c r="H9" s="76"/>
      <c r="I9" s="76"/>
      <c r="J9" s="67"/>
      <c r="K9" s="67"/>
      <c r="L9" s="67"/>
      <c r="M9" s="67"/>
      <c r="N9" s="67"/>
      <c r="O9" s="67"/>
    </row>
    <row r="10" spans="1:15" ht="33.75" customHeight="1" x14ac:dyDescent="0.25">
      <c r="A10" s="73" t="s">
        <v>91</v>
      </c>
      <c r="B10" s="74"/>
      <c r="C10" s="34">
        <v>558531.68000000005</v>
      </c>
      <c r="D10" s="34">
        <v>176846.83</v>
      </c>
      <c r="E10" s="29"/>
      <c r="F10" s="29"/>
      <c r="G10" s="75"/>
      <c r="H10" s="76"/>
      <c r="I10" s="76"/>
      <c r="J10" s="77"/>
      <c r="K10" s="77"/>
      <c r="L10" s="67"/>
      <c r="M10" s="78"/>
      <c r="N10" s="67"/>
      <c r="O10" s="67"/>
    </row>
    <row r="11" spans="1:15" ht="14.25" customHeight="1" x14ac:dyDescent="0.25">
      <c r="A11" s="73" t="s">
        <v>92</v>
      </c>
      <c r="B11" s="74"/>
      <c r="C11" s="34">
        <v>0</v>
      </c>
      <c r="D11" s="34">
        <v>0</v>
      </c>
      <c r="E11" s="29"/>
      <c r="F11" s="29"/>
      <c r="G11" s="79"/>
      <c r="H11" s="80"/>
      <c r="I11" s="80"/>
      <c r="J11" s="67"/>
      <c r="K11" s="67"/>
      <c r="L11" s="67"/>
      <c r="M11" s="78"/>
      <c r="N11" s="67"/>
      <c r="O11" s="67"/>
    </row>
    <row r="12" spans="1:15" ht="14.25" customHeight="1" x14ac:dyDescent="0.25">
      <c r="A12" s="73" t="s">
        <v>93</v>
      </c>
      <c r="B12" s="74"/>
      <c r="C12" s="34">
        <v>0</v>
      </c>
      <c r="D12" s="34">
        <v>168780.48</v>
      </c>
      <c r="E12" s="29"/>
      <c r="F12" s="29"/>
      <c r="G12" s="75"/>
      <c r="H12" s="76"/>
      <c r="I12" s="76"/>
      <c r="J12" s="67"/>
      <c r="K12" s="67"/>
      <c r="L12" s="67"/>
      <c r="M12" s="78"/>
      <c r="N12" s="67"/>
      <c r="O12" s="67"/>
    </row>
    <row r="13" spans="1:15" ht="14.25" customHeight="1" x14ac:dyDescent="0.25">
      <c r="A13" s="73" t="s">
        <v>94</v>
      </c>
      <c r="B13" s="74"/>
      <c r="C13" s="34">
        <v>0</v>
      </c>
      <c r="D13" s="34">
        <v>0</v>
      </c>
      <c r="E13" s="29"/>
      <c r="F13" s="29"/>
      <c r="G13" s="75"/>
      <c r="H13" s="76"/>
      <c r="I13" s="76"/>
      <c r="J13" s="67"/>
      <c r="K13" s="67"/>
      <c r="L13" s="67"/>
      <c r="M13" s="67"/>
      <c r="N13" s="67"/>
      <c r="O13" s="67"/>
    </row>
    <row r="14" spans="1:15" ht="14.25" customHeight="1" x14ac:dyDescent="0.25">
      <c r="A14" s="73" t="s">
        <v>95</v>
      </c>
      <c r="B14" s="74"/>
      <c r="C14" s="34">
        <f>18769675334.57-9194260.99</f>
        <v>18760481073.579998</v>
      </c>
      <c r="D14" s="34">
        <f>18304764480.51-11712605.97</f>
        <v>18293051874.539997</v>
      </c>
      <c r="E14" s="29"/>
      <c r="F14" s="29"/>
      <c r="G14" s="75"/>
      <c r="H14" s="76"/>
      <c r="I14" s="76"/>
      <c r="J14" s="67"/>
      <c r="K14" s="67"/>
      <c r="L14" s="67"/>
      <c r="M14" s="67"/>
      <c r="N14" s="67"/>
      <c r="O14" s="67"/>
    </row>
    <row r="15" spans="1:15" ht="14.25" customHeight="1" x14ac:dyDescent="0.25">
      <c r="A15" s="81" t="s">
        <v>96</v>
      </c>
      <c r="B15" s="82"/>
      <c r="C15" s="32">
        <f>SUM(C16:C25)</f>
        <v>4499973249.5200005</v>
      </c>
      <c r="D15" s="32">
        <f>SUM(D16:D25)</f>
        <v>3847288801.9799995</v>
      </c>
      <c r="E15" s="29"/>
      <c r="F15" s="29"/>
      <c r="G15" s="71"/>
      <c r="H15" s="72"/>
      <c r="I15" s="72"/>
      <c r="J15" s="67"/>
      <c r="K15" s="67"/>
      <c r="L15" s="67"/>
      <c r="M15" s="67"/>
      <c r="N15" s="67"/>
      <c r="O15" s="67"/>
    </row>
    <row r="16" spans="1:15" x14ac:dyDescent="0.25">
      <c r="A16" s="73" t="s">
        <v>97</v>
      </c>
      <c r="B16" s="74"/>
      <c r="C16" s="34">
        <v>169931172.59</v>
      </c>
      <c r="D16" s="34">
        <v>168641406.11000001</v>
      </c>
      <c r="E16" s="29"/>
      <c r="F16" s="29"/>
      <c r="G16" s="75"/>
      <c r="H16" s="76"/>
      <c r="I16" s="76"/>
      <c r="J16" s="67"/>
      <c r="K16" s="67"/>
      <c r="L16" s="67"/>
      <c r="M16" s="67"/>
      <c r="N16" s="67"/>
      <c r="O16" s="67"/>
    </row>
    <row r="17" spans="1:15" x14ac:dyDescent="0.25">
      <c r="A17" s="73" t="s">
        <v>98</v>
      </c>
      <c r="B17" s="74"/>
      <c r="C17" s="34">
        <v>51012564.670000002</v>
      </c>
      <c r="D17" s="34">
        <v>64051384.579999998</v>
      </c>
      <c r="E17" s="29"/>
      <c r="F17" s="29"/>
      <c r="G17" s="75"/>
      <c r="H17" s="76"/>
      <c r="I17" s="76"/>
      <c r="J17" s="67"/>
      <c r="K17" s="67"/>
      <c r="L17" s="67"/>
      <c r="M17" s="67"/>
      <c r="N17" s="67"/>
      <c r="O17" s="67"/>
    </row>
    <row r="18" spans="1:15" x14ac:dyDescent="0.25">
      <c r="A18" s="73" t="s">
        <v>99</v>
      </c>
      <c r="B18" s="74"/>
      <c r="C18" s="34">
        <f>932221172.6-31681.71</f>
        <v>932189490.88999999</v>
      </c>
      <c r="D18" s="34">
        <v>1049258539.11</v>
      </c>
      <c r="E18" s="29"/>
      <c r="F18" s="29"/>
      <c r="G18" s="75"/>
      <c r="H18" s="76"/>
      <c r="I18" s="76"/>
      <c r="J18" s="67"/>
      <c r="K18" s="67"/>
      <c r="L18" s="67"/>
      <c r="M18" s="67"/>
      <c r="N18" s="67"/>
      <c r="O18" s="67"/>
    </row>
    <row r="19" spans="1:15" x14ac:dyDescent="0.25">
      <c r="A19" s="73" t="s">
        <v>100</v>
      </c>
      <c r="B19" s="74"/>
      <c r="C19" s="34">
        <f>22707538.54-9164167.48</f>
        <v>13543371.059999999</v>
      </c>
      <c r="D19" s="34">
        <f>29125036.79-11544532.93</f>
        <v>17580503.859999999</v>
      </c>
      <c r="E19" s="29"/>
      <c r="F19" s="29"/>
      <c r="G19" s="75"/>
      <c r="H19" s="76"/>
      <c r="I19" s="76"/>
      <c r="J19" s="67"/>
      <c r="K19" s="67"/>
      <c r="L19" s="67"/>
      <c r="M19" s="67"/>
      <c r="N19" s="67"/>
      <c r="O19" s="67"/>
    </row>
    <row r="20" spans="1:15" x14ac:dyDescent="0.25">
      <c r="A20" s="73" t="s">
        <v>101</v>
      </c>
      <c r="B20" s="74"/>
      <c r="C20" s="34">
        <v>829736509.66999996</v>
      </c>
      <c r="D20" s="34">
        <v>906176570.45000005</v>
      </c>
      <c r="E20" s="29"/>
      <c r="F20" s="29"/>
      <c r="G20" s="75"/>
      <c r="H20" s="76"/>
      <c r="I20" s="76"/>
    </row>
    <row r="21" spans="1:15" ht="14.25" customHeight="1" x14ac:dyDescent="0.25">
      <c r="A21" s="73" t="s">
        <v>102</v>
      </c>
      <c r="B21" s="74"/>
      <c r="C21" s="34">
        <v>171465630.80000001</v>
      </c>
      <c r="D21" s="34">
        <v>190668101.97999999</v>
      </c>
      <c r="E21" s="29"/>
      <c r="F21" s="29"/>
      <c r="G21" s="75"/>
      <c r="H21" s="76"/>
      <c r="I21" s="76"/>
    </row>
    <row r="22" spans="1:15" x14ac:dyDescent="0.25">
      <c r="A22" s="73" t="s">
        <v>103</v>
      </c>
      <c r="B22" s="74"/>
      <c r="C22" s="34">
        <v>28175682.940000001</v>
      </c>
      <c r="D22" s="34">
        <v>32310425.719999999</v>
      </c>
      <c r="E22" s="29"/>
      <c r="F22" s="29"/>
      <c r="G22" s="75"/>
      <c r="H22" s="76"/>
      <c r="I22" s="76"/>
    </row>
    <row r="23" spans="1:15" ht="14.25" customHeight="1" x14ac:dyDescent="0.25">
      <c r="A23" s="73" t="s">
        <v>104</v>
      </c>
      <c r="B23" s="74"/>
      <c r="C23" s="34">
        <v>0</v>
      </c>
      <c r="D23" s="34">
        <v>169670.61</v>
      </c>
      <c r="E23" s="29"/>
      <c r="F23" s="29"/>
      <c r="G23" s="75"/>
      <c r="H23" s="76"/>
      <c r="I23" s="76"/>
    </row>
    <row r="24" spans="1:15" ht="14.25" customHeight="1" x14ac:dyDescent="0.25">
      <c r="A24" s="73" t="s">
        <v>105</v>
      </c>
      <c r="B24" s="74"/>
      <c r="C24" s="34">
        <f>2303943930.11-25103.21</f>
        <v>2303918826.9000001</v>
      </c>
      <c r="D24" s="34">
        <f>1418478379.08-46179.52</f>
        <v>1418432199.5599999</v>
      </c>
      <c r="E24" s="29"/>
      <c r="F24" s="29"/>
      <c r="G24" s="75"/>
      <c r="H24" s="76"/>
      <c r="I24" s="76"/>
    </row>
    <row r="25" spans="1:15" x14ac:dyDescent="0.25">
      <c r="A25" s="73" t="s">
        <v>106</v>
      </c>
      <c r="B25" s="74"/>
      <c r="C25" s="34">
        <v>0</v>
      </c>
      <c r="D25" s="34">
        <v>0</v>
      </c>
      <c r="E25" s="29"/>
      <c r="F25" s="29"/>
      <c r="G25" s="75"/>
      <c r="H25" s="76"/>
      <c r="I25" s="76"/>
    </row>
    <row r="26" spans="1:15" ht="14.25" customHeight="1" x14ac:dyDescent="0.25">
      <c r="A26" s="81" t="s">
        <v>107</v>
      </c>
      <c r="B26" s="82"/>
      <c r="C26" s="32">
        <f>C8-C15</f>
        <v>14634004987.989998</v>
      </c>
      <c r="D26" s="32">
        <f>D8-D15</f>
        <v>14831246146.189999</v>
      </c>
      <c r="E26" s="29"/>
      <c r="F26" s="29"/>
      <c r="G26" s="71"/>
      <c r="H26" s="72"/>
      <c r="I26" s="72"/>
    </row>
    <row r="27" spans="1:15" ht="14.25" customHeight="1" x14ac:dyDescent="0.25">
      <c r="A27" s="81" t="s">
        <v>108</v>
      </c>
      <c r="B27" s="82"/>
      <c r="C27" s="32">
        <f>SUM(C28:C30)</f>
        <v>868784399.58000004</v>
      </c>
      <c r="D27" s="32">
        <f>SUM(D28:D30)</f>
        <v>766069602.6099999</v>
      </c>
      <c r="E27" s="29"/>
      <c r="F27" s="29"/>
      <c r="G27" s="71"/>
      <c r="H27" s="72"/>
      <c r="I27" s="72"/>
    </row>
    <row r="28" spans="1:15" ht="14.25" customHeight="1" x14ac:dyDescent="0.25">
      <c r="A28" s="73" t="s">
        <v>109</v>
      </c>
      <c r="B28" s="74"/>
      <c r="C28" s="34">
        <v>306288592.57999998</v>
      </c>
      <c r="D28" s="34">
        <v>307608294.63</v>
      </c>
      <c r="E28" s="29"/>
      <c r="F28" s="29"/>
      <c r="G28" s="75"/>
      <c r="H28" s="76"/>
      <c r="I28" s="76"/>
    </row>
    <row r="29" spans="1:15" x14ac:dyDescent="0.25">
      <c r="A29" s="73" t="s">
        <v>110</v>
      </c>
      <c r="B29" s="74"/>
      <c r="C29" s="34">
        <v>350863.81</v>
      </c>
      <c r="D29" s="34">
        <v>684942.08</v>
      </c>
      <c r="E29" s="29"/>
      <c r="F29" s="29"/>
      <c r="G29" s="79"/>
      <c r="H29" s="80"/>
      <c r="I29" s="80"/>
    </row>
    <row r="30" spans="1:15" x14ac:dyDescent="0.25">
      <c r="A30" s="73" t="s">
        <v>111</v>
      </c>
      <c r="B30" s="74"/>
      <c r="C30" s="34">
        <f>562146543.19-1600</f>
        <v>562144943.19000006</v>
      </c>
      <c r="D30" s="34">
        <v>457776365.89999998</v>
      </c>
      <c r="E30" s="29"/>
      <c r="F30" s="29"/>
      <c r="G30" s="75"/>
      <c r="H30" s="76"/>
      <c r="I30" s="76"/>
    </row>
    <row r="31" spans="1:15" x14ac:dyDescent="0.25">
      <c r="A31" s="81" t="s">
        <v>112</v>
      </c>
      <c r="B31" s="82"/>
      <c r="C31" s="32">
        <f>SUM(C32:C33)</f>
        <v>869310357.64999998</v>
      </c>
      <c r="D31" s="32">
        <f>SUM(D32:D33)</f>
        <v>621554964.23000002</v>
      </c>
      <c r="E31" s="29"/>
      <c r="F31" s="29"/>
      <c r="G31" s="71"/>
      <c r="H31" s="72"/>
      <c r="I31" s="72"/>
    </row>
    <row r="32" spans="1:15" ht="47.25" customHeight="1" x14ac:dyDescent="0.25">
      <c r="A32" s="73" t="s">
        <v>113</v>
      </c>
      <c r="B32" s="74"/>
      <c r="C32" s="34">
        <v>0</v>
      </c>
      <c r="D32" s="34">
        <v>0</v>
      </c>
      <c r="E32" s="29"/>
      <c r="F32" s="29"/>
      <c r="G32" s="75"/>
      <c r="H32" s="76"/>
      <c r="I32" s="76"/>
    </row>
    <row r="33" spans="1:9" x14ac:dyDescent="0.25">
      <c r="A33" s="73" t="s">
        <v>114</v>
      </c>
      <c r="B33" s="74"/>
      <c r="C33" s="34">
        <v>869310357.64999998</v>
      </c>
      <c r="D33" s="34">
        <f>621723030.53-168066.3</f>
        <v>621554964.23000002</v>
      </c>
      <c r="E33" s="29"/>
      <c r="F33" s="29"/>
      <c r="G33" s="75"/>
      <c r="H33" s="76"/>
      <c r="I33" s="76"/>
    </row>
    <row r="34" spans="1:9" ht="14.25" customHeight="1" x14ac:dyDescent="0.25">
      <c r="A34" s="81" t="s">
        <v>115</v>
      </c>
      <c r="B34" s="82"/>
      <c r="C34" s="32">
        <f>C26+C27-C31</f>
        <v>14633479029.919998</v>
      </c>
      <c r="D34" s="32">
        <f>D26+D27-D31</f>
        <v>14975760784.57</v>
      </c>
      <c r="E34" s="29"/>
      <c r="F34" s="29"/>
      <c r="G34" s="71"/>
      <c r="H34" s="72"/>
      <c r="I34" s="72"/>
    </row>
    <row r="35" spans="1:9" x14ac:dyDescent="0.25">
      <c r="A35" s="81" t="s">
        <v>116</v>
      </c>
      <c r="B35" s="82"/>
      <c r="C35" s="32">
        <f>SUM(C36:C38)</f>
        <v>211468716.25</v>
      </c>
      <c r="D35" s="32">
        <f>SUM(D36:D38)</f>
        <v>534503153.39000005</v>
      </c>
      <c r="E35" s="29"/>
      <c r="F35" s="29"/>
      <c r="G35" s="71"/>
      <c r="H35" s="72"/>
      <c r="I35" s="72"/>
    </row>
    <row r="36" spans="1:9" x14ac:dyDescent="0.25">
      <c r="A36" s="73" t="s">
        <v>117</v>
      </c>
      <c r="B36" s="74"/>
      <c r="C36" s="34">
        <v>182289.02</v>
      </c>
      <c r="D36" s="34">
        <v>203988.1</v>
      </c>
      <c r="E36" s="29"/>
      <c r="F36" s="29"/>
      <c r="G36" s="75"/>
      <c r="H36" s="76"/>
      <c r="I36" s="76"/>
    </row>
    <row r="37" spans="1:9" x14ac:dyDescent="0.25">
      <c r="A37" s="73" t="s">
        <v>118</v>
      </c>
      <c r="B37" s="74"/>
      <c r="C37" s="34">
        <v>51744616.020000003</v>
      </c>
      <c r="D37" s="34">
        <v>383951308.97000003</v>
      </c>
      <c r="E37" s="29"/>
      <c r="F37" s="29"/>
      <c r="G37" s="75"/>
      <c r="H37" s="76"/>
      <c r="I37" s="76"/>
    </row>
    <row r="38" spans="1:9" x14ac:dyDescent="0.25">
      <c r="A38" s="73" t="s">
        <v>119</v>
      </c>
      <c r="B38" s="74"/>
      <c r="C38" s="34">
        <v>159541811.21000001</v>
      </c>
      <c r="D38" s="34">
        <v>150347856.31999999</v>
      </c>
      <c r="E38" s="29"/>
      <c r="F38" s="29"/>
      <c r="G38" s="75"/>
      <c r="H38" s="76"/>
      <c r="I38" s="76"/>
    </row>
    <row r="39" spans="1:9" x14ac:dyDescent="0.25">
      <c r="A39" s="81" t="s">
        <v>120</v>
      </c>
      <c r="B39" s="82"/>
      <c r="C39" s="32">
        <f>SUM(C40:C41)</f>
        <v>830115763.81999993</v>
      </c>
      <c r="D39" s="32">
        <f>SUM(D40:D41)</f>
        <v>854036641.41999996</v>
      </c>
      <c r="E39" s="29"/>
      <c r="F39" s="29"/>
      <c r="G39" s="71"/>
      <c r="H39" s="72"/>
      <c r="I39" s="72"/>
    </row>
    <row r="40" spans="1:9" x14ac:dyDescent="0.25">
      <c r="A40" s="73" t="s">
        <v>121</v>
      </c>
      <c r="B40" s="74"/>
      <c r="C40" s="34">
        <v>129794369.42</v>
      </c>
      <c r="D40" s="34">
        <v>185021567.25999999</v>
      </c>
      <c r="E40" s="29"/>
      <c r="F40" s="29"/>
      <c r="G40" s="75"/>
      <c r="H40" s="76"/>
      <c r="I40" s="76"/>
    </row>
    <row r="41" spans="1:9" x14ac:dyDescent="0.25">
      <c r="A41" s="73" t="s">
        <v>122</v>
      </c>
      <c r="B41" s="74"/>
      <c r="C41" s="34">
        <v>700321394.39999998</v>
      </c>
      <c r="D41" s="34">
        <v>669015074.15999997</v>
      </c>
      <c r="E41" s="29"/>
      <c r="F41" s="29"/>
      <c r="G41" s="75"/>
      <c r="H41" s="76"/>
      <c r="I41" s="76"/>
    </row>
    <row r="42" spans="1:9" ht="14.25" customHeight="1" x14ac:dyDescent="0.25">
      <c r="A42" s="81" t="s">
        <v>123</v>
      </c>
      <c r="B42" s="82"/>
      <c r="C42" s="32">
        <f>C34+C35-C39</f>
        <v>14014831982.349998</v>
      </c>
      <c r="D42" s="32">
        <f>D34+D35-D39</f>
        <v>14656227296.539999</v>
      </c>
      <c r="E42" s="29"/>
      <c r="F42" s="29"/>
      <c r="G42" s="71"/>
      <c r="H42" s="72"/>
      <c r="I42" s="72"/>
    </row>
    <row r="43" spans="1:9" x14ac:dyDescent="0.25">
      <c r="A43" s="81" t="s">
        <v>124</v>
      </c>
      <c r="B43" s="82"/>
      <c r="C43" s="34">
        <v>0</v>
      </c>
      <c r="D43" s="34">
        <v>0</v>
      </c>
      <c r="E43" s="29"/>
      <c r="F43" s="29"/>
      <c r="G43" s="75"/>
      <c r="H43" s="76"/>
      <c r="I43" s="76"/>
    </row>
    <row r="44" spans="1:9" ht="28.5" customHeight="1" thickBot="1" x14ac:dyDescent="0.3">
      <c r="A44" s="83" t="s">
        <v>125</v>
      </c>
      <c r="B44" s="84"/>
      <c r="C44" s="85">
        <v>0</v>
      </c>
      <c r="D44" s="85">
        <v>0</v>
      </c>
      <c r="E44" s="29"/>
      <c r="F44" s="29"/>
      <c r="G44" s="79"/>
      <c r="H44" s="80"/>
      <c r="I44" s="72"/>
    </row>
    <row r="45" spans="1:9" ht="15.75" thickBot="1" x14ac:dyDescent="0.3">
      <c r="A45" s="86" t="s">
        <v>126</v>
      </c>
      <c r="B45" s="87"/>
      <c r="C45" s="45">
        <f>C42-C43-C44</f>
        <v>14014831982.349998</v>
      </c>
      <c r="D45" s="45">
        <f>D42-D43-D44</f>
        <v>14656227296.539999</v>
      </c>
      <c r="E45" s="29"/>
      <c r="F45" s="29">
        <f>C45-'[1]Bilans 31.12.2022'!E10</f>
        <v>0</v>
      </c>
      <c r="G45" s="29">
        <f>D45-'[1]Bilans 31.12.2022'!F10</f>
        <v>0</v>
      </c>
      <c r="H45" s="72"/>
      <c r="I45" s="72"/>
    </row>
    <row r="46" spans="1:9" x14ac:dyDescent="0.25">
      <c r="A46" s="46"/>
      <c r="B46" s="46"/>
      <c r="C46" s="46"/>
      <c r="D46" s="46"/>
      <c r="E46" s="29"/>
    </row>
    <row r="47" spans="1:9" x14ac:dyDescent="0.25">
      <c r="A47" s="53"/>
      <c r="B47" s="53"/>
      <c r="C47" s="53"/>
      <c r="D47" s="53"/>
    </row>
    <row r="48" spans="1:9" x14ac:dyDescent="0.25">
      <c r="A48" s="53"/>
      <c r="B48" s="52">
        <v>45057</v>
      </c>
      <c r="C48" s="52"/>
      <c r="D48" s="53"/>
    </row>
    <row r="49" spans="1:4" x14ac:dyDescent="0.25">
      <c r="A49" s="53"/>
      <c r="B49" s="54" t="s">
        <v>127</v>
      </c>
      <c r="C49" s="54"/>
      <c r="D49" s="53"/>
    </row>
    <row r="50" spans="1:4" x14ac:dyDescent="0.25">
      <c r="A50" s="53" t="s">
        <v>128</v>
      </c>
      <c r="B50" s="53"/>
      <c r="C50" s="53"/>
      <c r="D50" s="53" t="s">
        <v>129</v>
      </c>
    </row>
    <row r="51" spans="1:4" x14ac:dyDescent="0.25">
      <c r="A51" s="53" t="s">
        <v>81</v>
      </c>
      <c r="B51" s="53"/>
      <c r="C51" s="53"/>
      <c r="D51" s="53" t="s">
        <v>82</v>
      </c>
    </row>
    <row r="53" spans="1:4" x14ac:dyDescent="0.25">
      <c r="A53" s="88"/>
      <c r="C53" s="29">
        <f>C45-'[1]Bilans 31.12.2022'!E10</f>
        <v>0</v>
      </c>
      <c r="D53" s="29">
        <f>D45-'[1]Bilans 31.12.2022'!F10</f>
        <v>0</v>
      </c>
    </row>
    <row r="56" spans="1:4" x14ac:dyDescent="0.25">
      <c r="A56" s="30"/>
    </row>
    <row r="57" spans="1:4" x14ac:dyDescent="0.25">
      <c r="A57" s="30"/>
    </row>
  </sheetData>
  <mergeCells count="51">
    <mergeCell ref="A46:D46"/>
    <mergeCell ref="B48:C48"/>
    <mergeCell ref="B49:C49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M10:M12"/>
    <mergeCell ref="A11:B11"/>
    <mergeCell ref="A12:B12"/>
    <mergeCell ref="A13:B13"/>
    <mergeCell ref="A14:B14"/>
    <mergeCell ref="A15:B15"/>
    <mergeCell ref="B5:C6"/>
    <mergeCell ref="A7:B7"/>
    <mergeCell ref="A8:B8"/>
    <mergeCell ref="A9:B9"/>
    <mergeCell ref="A10:B10"/>
    <mergeCell ref="J10:K10"/>
    <mergeCell ref="A1:A4"/>
    <mergeCell ref="B1:C1"/>
    <mergeCell ref="D1:D4"/>
    <mergeCell ref="B2:C2"/>
    <mergeCell ref="B3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7" workbookViewId="0">
      <selection activeCell="D34" sqref="D34"/>
    </sheetView>
  </sheetViews>
  <sheetFormatPr defaultColWidth="9.140625" defaultRowHeight="15" x14ac:dyDescent="0.25"/>
  <cols>
    <col min="1" max="1" width="32.5703125" style="8" customWidth="1"/>
    <col min="2" max="2" width="29.85546875" style="8" customWidth="1"/>
    <col min="3" max="3" width="24" style="8" customWidth="1"/>
    <col min="4" max="4" width="23.28515625" style="8" customWidth="1"/>
    <col min="5" max="6" width="17" style="50" bestFit="1" customWidth="1"/>
    <col min="7" max="7" width="17" style="7" bestFit="1" customWidth="1"/>
    <col min="8" max="8" width="9.140625" style="50"/>
    <col min="9" max="16384" width="9.140625" style="8"/>
  </cols>
  <sheetData>
    <row r="1" spans="1:7" x14ac:dyDescent="0.25">
      <c r="A1" s="1" t="s">
        <v>130</v>
      </c>
      <c r="B1" s="89" t="s">
        <v>131</v>
      </c>
      <c r="C1" s="90"/>
      <c r="D1" s="1" t="s">
        <v>132</v>
      </c>
    </row>
    <row r="2" spans="1:7" x14ac:dyDescent="0.25">
      <c r="A2" s="9"/>
      <c r="B2" s="91"/>
      <c r="C2" s="92"/>
      <c r="D2" s="9"/>
    </row>
    <row r="3" spans="1:7" x14ac:dyDescent="0.25">
      <c r="A3" s="9"/>
      <c r="B3" s="93" t="s">
        <v>133</v>
      </c>
      <c r="C3" s="94"/>
      <c r="D3" s="9"/>
    </row>
    <row r="4" spans="1:7" x14ac:dyDescent="0.25">
      <c r="A4" s="15" t="s">
        <v>3</v>
      </c>
      <c r="B4" s="16" t="s">
        <v>4</v>
      </c>
      <c r="C4" s="18"/>
      <c r="D4" s="95"/>
    </row>
    <row r="5" spans="1:7" ht="15.75" thickBot="1" x14ac:dyDescent="0.3">
      <c r="A5" s="20" t="s">
        <v>5</v>
      </c>
      <c r="B5" s="21"/>
      <c r="C5" s="23"/>
      <c r="D5" s="96"/>
    </row>
    <row r="6" spans="1:7" ht="30.75" thickBot="1" x14ac:dyDescent="0.3">
      <c r="A6" s="64"/>
      <c r="B6" s="65"/>
      <c r="C6" s="26" t="s">
        <v>87</v>
      </c>
      <c r="D6" s="66" t="s">
        <v>88</v>
      </c>
    </row>
    <row r="7" spans="1:7" x14ac:dyDescent="0.25">
      <c r="A7" s="68" t="s">
        <v>134</v>
      </c>
      <c r="B7" s="69"/>
      <c r="C7" s="70">
        <v>652761176.66999996</v>
      </c>
      <c r="D7" s="70">
        <v>2033160088.25</v>
      </c>
      <c r="E7" s="97"/>
      <c r="F7" s="97"/>
      <c r="G7" s="29"/>
    </row>
    <row r="8" spans="1:7" x14ac:dyDescent="0.25">
      <c r="A8" s="81" t="s">
        <v>135</v>
      </c>
      <c r="B8" s="82"/>
      <c r="C8" s="32">
        <f>SUM(C9:C18)</f>
        <v>25443039937.120003</v>
      </c>
      <c r="D8" s="32">
        <f>SUM(D9:D18)</f>
        <v>24156407558.18</v>
      </c>
      <c r="E8" s="97"/>
      <c r="F8" s="97"/>
      <c r="G8" s="29"/>
    </row>
    <row r="9" spans="1:7" x14ac:dyDescent="0.25">
      <c r="A9" s="73" t="s">
        <v>136</v>
      </c>
      <c r="B9" s="74"/>
      <c r="C9" s="34">
        <f>17938996949.04-2583954701.93</f>
        <v>15355042247.110001</v>
      </c>
      <c r="D9" s="34">
        <f>16696151599.08-2681319616.73</f>
        <v>14014831982.35</v>
      </c>
      <c r="E9" s="97"/>
      <c r="F9" s="97"/>
      <c r="G9" s="29"/>
    </row>
    <row r="10" spans="1:7" x14ac:dyDescent="0.25">
      <c r="A10" s="73" t="s">
        <v>137</v>
      </c>
      <c r="B10" s="74"/>
      <c r="C10" s="34">
        <v>9012369473.0900002</v>
      </c>
      <c r="D10" s="34">
        <v>8948009397.8999996</v>
      </c>
      <c r="E10" s="97"/>
      <c r="F10" s="97"/>
      <c r="G10" s="29"/>
    </row>
    <row r="11" spans="1:7" x14ac:dyDescent="0.25">
      <c r="A11" s="73" t="s">
        <v>138</v>
      </c>
      <c r="B11" s="74"/>
      <c r="C11" s="34">
        <v>0</v>
      </c>
      <c r="D11" s="34">
        <v>0</v>
      </c>
      <c r="E11" s="97"/>
      <c r="F11" s="97"/>
      <c r="G11" s="29"/>
    </row>
    <row r="12" spans="1:7" x14ac:dyDescent="0.25">
      <c r="A12" s="73" t="s">
        <v>139</v>
      </c>
      <c r="B12" s="74"/>
      <c r="C12" s="34">
        <v>462370238.68000001</v>
      </c>
      <c r="D12" s="34">
        <v>388546551.56999999</v>
      </c>
      <c r="E12" s="97"/>
      <c r="F12" s="97"/>
      <c r="G12" s="29"/>
    </row>
    <row r="13" spans="1:7" x14ac:dyDescent="0.25">
      <c r="A13" s="73" t="s">
        <v>140</v>
      </c>
      <c r="B13" s="74"/>
      <c r="C13" s="34">
        <v>0</v>
      </c>
      <c r="D13" s="34">
        <v>0</v>
      </c>
      <c r="E13" s="97"/>
      <c r="F13" s="97"/>
      <c r="G13" s="29"/>
    </row>
    <row r="14" spans="1:7" x14ac:dyDescent="0.25">
      <c r="A14" s="73" t="s">
        <v>141</v>
      </c>
      <c r="B14" s="74"/>
      <c r="C14" s="34">
        <f>38954493.13-163016.63</f>
        <v>38791476.5</v>
      </c>
      <c r="D14" s="34">
        <f>88127222.35-23147078.71</f>
        <v>64980143.639999993</v>
      </c>
      <c r="E14" s="97"/>
      <c r="F14" s="97"/>
      <c r="G14" s="29"/>
    </row>
    <row r="15" spans="1:7" x14ac:dyDescent="0.25">
      <c r="A15" s="73" t="s">
        <v>142</v>
      </c>
      <c r="B15" s="74"/>
      <c r="C15" s="34">
        <v>0</v>
      </c>
      <c r="D15" s="34">
        <v>0</v>
      </c>
      <c r="E15" s="97"/>
      <c r="F15" s="97"/>
      <c r="G15" s="29"/>
    </row>
    <row r="16" spans="1:7" x14ac:dyDescent="0.25">
      <c r="A16" s="73" t="s">
        <v>143</v>
      </c>
      <c r="B16" s="74"/>
      <c r="C16" s="34">
        <v>16760.7</v>
      </c>
      <c r="D16" s="34">
        <f>821926.87-798494.53</f>
        <v>23432.339999999967</v>
      </c>
      <c r="E16" s="97"/>
      <c r="F16" s="97"/>
      <c r="G16" s="29"/>
    </row>
    <row r="17" spans="1:7" x14ac:dyDescent="0.25">
      <c r="A17" s="73" t="s">
        <v>144</v>
      </c>
      <c r="B17" s="74"/>
      <c r="C17" s="34">
        <v>0</v>
      </c>
      <c r="D17" s="34">
        <v>0</v>
      </c>
      <c r="E17" s="97"/>
      <c r="F17" s="97"/>
      <c r="G17" s="29"/>
    </row>
    <row r="18" spans="1:7" x14ac:dyDescent="0.25">
      <c r="A18" s="73" t="s">
        <v>145</v>
      </c>
      <c r="B18" s="74"/>
      <c r="C18" s="34">
        <f>574454980.18-5239.14</f>
        <v>574449741.03999996</v>
      </c>
      <c r="D18" s="34">
        <f>740036016.8-19966.42</f>
        <v>740016050.38</v>
      </c>
      <c r="E18" s="97"/>
      <c r="F18" s="97"/>
      <c r="G18" s="29"/>
    </row>
    <row r="19" spans="1:7" x14ac:dyDescent="0.25">
      <c r="A19" s="81" t="s">
        <v>146</v>
      </c>
      <c r="B19" s="82"/>
      <c r="C19" s="32">
        <f>SUM(C20:C28)</f>
        <v>24062641025.540001</v>
      </c>
      <c r="D19" s="32">
        <f>SUM(D20:D28)</f>
        <v>23972270845.589996</v>
      </c>
      <c r="E19" s="97"/>
      <c r="F19" s="97"/>
      <c r="G19" s="29"/>
    </row>
    <row r="20" spans="1:7" x14ac:dyDescent="0.25">
      <c r="A20" s="73" t="s">
        <v>147</v>
      </c>
      <c r="B20" s="74"/>
      <c r="C20" s="34">
        <f>2583954701.93-2583954701.93</f>
        <v>0</v>
      </c>
      <c r="D20" s="34">
        <f>2681319616.73-2681319616.73</f>
        <v>0</v>
      </c>
      <c r="E20" s="97"/>
      <c r="F20" s="97"/>
      <c r="G20" s="29"/>
    </row>
    <row r="21" spans="1:7" x14ac:dyDescent="0.25">
      <c r="A21" s="73" t="s">
        <v>148</v>
      </c>
      <c r="B21" s="74"/>
      <c r="C21" s="34">
        <v>19608855300.290001</v>
      </c>
      <c r="D21" s="34">
        <v>19230623661.77</v>
      </c>
      <c r="E21" s="97"/>
      <c r="F21" s="97"/>
      <c r="G21" s="29"/>
    </row>
    <row r="22" spans="1:7" x14ac:dyDescent="0.25">
      <c r="A22" s="73" t="s">
        <v>149</v>
      </c>
      <c r="B22" s="74"/>
      <c r="C22" s="34">
        <v>0</v>
      </c>
      <c r="D22" s="34">
        <v>0</v>
      </c>
      <c r="E22" s="97"/>
      <c r="F22" s="97"/>
      <c r="G22" s="29"/>
    </row>
    <row r="23" spans="1:7" x14ac:dyDescent="0.25">
      <c r="A23" s="73" t="s">
        <v>150</v>
      </c>
      <c r="B23" s="74"/>
      <c r="C23" s="34">
        <v>3693967958.5100002</v>
      </c>
      <c r="D23" s="34">
        <v>3880394890.25</v>
      </c>
      <c r="E23" s="97"/>
      <c r="F23" s="97"/>
      <c r="G23" s="29"/>
    </row>
    <row r="24" spans="1:7" x14ac:dyDescent="0.25">
      <c r="A24" s="73" t="s">
        <v>151</v>
      </c>
      <c r="B24" s="74"/>
      <c r="C24" s="34">
        <v>0</v>
      </c>
      <c r="D24" s="34">
        <v>0</v>
      </c>
      <c r="E24" s="97"/>
      <c r="F24" s="97"/>
      <c r="G24" s="29"/>
    </row>
    <row r="25" spans="1:7" x14ac:dyDescent="0.25">
      <c r="A25" s="73" t="s">
        <v>152</v>
      </c>
      <c r="B25" s="74"/>
      <c r="C25" s="34">
        <f>288498005.52-163016.63</f>
        <v>288334988.88999999</v>
      </c>
      <c r="D25" s="34">
        <f>367744309.13-23147078.71</f>
        <v>344597230.42000002</v>
      </c>
      <c r="E25" s="97"/>
      <c r="F25" s="97"/>
      <c r="G25" s="29"/>
    </row>
    <row r="26" spans="1:7" x14ac:dyDescent="0.25">
      <c r="A26" s="73" t="s">
        <v>153</v>
      </c>
      <c r="B26" s="74"/>
      <c r="C26" s="34">
        <v>0</v>
      </c>
      <c r="D26" s="34">
        <v>0</v>
      </c>
      <c r="E26" s="97"/>
      <c r="F26" s="97"/>
      <c r="G26" s="29"/>
    </row>
    <row r="27" spans="1:7" x14ac:dyDescent="0.25">
      <c r="A27" s="73" t="s">
        <v>154</v>
      </c>
      <c r="B27" s="74"/>
      <c r="C27" s="34">
        <v>255505.94</v>
      </c>
      <c r="D27" s="34">
        <f>1866346.33-798494.53</f>
        <v>1067851.8</v>
      </c>
      <c r="E27" s="97"/>
      <c r="F27" s="97"/>
      <c r="G27" s="29"/>
    </row>
    <row r="28" spans="1:7" x14ac:dyDescent="0.25">
      <c r="A28" s="73" t="s">
        <v>155</v>
      </c>
      <c r="B28" s="74"/>
      <c r="C28" s="34">
        <f>471232511.05-5239.14</f>
        <v>471227271.91000003</v>
      </c>
      <c r="D28" s="34">
        <f>515607177.77-19966.42</f>
        <v>515587211.34999996</v>
      </c>
      <c r="E28" s="97"/>
      <c r="F28" s="97"/>
      <c r="G28" s="29"/>
    </row>
    <row r="29" spans="1:7" x14ac:dyDescent="0.25">
      <c r="A29" s="81" t="s">
        <v>156</v>
      </c>
      <c r="B29" s="82"/>
      <c r="C29" s="32">
        <f>C7+C8-C19</f>
        <v>2033160088.25</v>
      </c>
      <c r="D29" s="32">
        <f>D7+D8-D19</f>
        <v>2217296800.840004</v>
      </c>
      <c r="E29" s="97"/>
      <c r="F29" s="97"/>
      <c r="G29" s="29">
        <f>D29-'[1]Bilans 31.12.2022'!F9</f>
        <v>3.814697265625E-6</v>
      </c>
    </row>
    <row r="30" spans="1:7" x14ac:dyDescent="0.25">
      <c r="A30" s="81" t="s">
        <v>157</v>
      </c>
      <c r="B30" s="82"/>
      <c r="C30" s="32">
        <f>C31+C32-C33</f>
        <v>14014831982.35</v>
      </c>
      <c r="D30" s="32">
        <f>D31+D32-D33</f>
        <v>14656227296.540001</v>
      </c>
      <c r="E30" s="97"/>
      <c r="F30" s="97"/>
      <c r="G30" s="29">
        <f>D30-'[1]RZiS 31.12.2022'!D45</f>
        <v>0</v>
      </c>
    </row>
    <row r="31" spans="1:7" x14ac:dyDescent="0.25">
      <c r="A31" s="73" t="s">
        <v>158</v>
      </c>
      <c r="B31" s="74"/>
      <c r="C31" s="34">
        <f>16696151599.08-2681319616.73</f>
        <v>14014831982.35</v>
      </c>
      <c r="D31" s="34">
        <f>16454288263.04-1798060966.5</f>
        <v>14656227296.540001</v>
      </c>
      <c r="E31" s="97"/>
      <c r="F31" s="97"/>
      <c r="G31" s="29"/>
    </row>
    <row r="32" spans="1:7" x14ac:dyDescent="0.25">
      <c r="A32" s="73" t="s">
        <v>159</v>
      </c>
      <c r="B32" s="74"/>
      <c r="C32" s="34">
        <f>-2681319616.73+2681319616.73</f>
        <v>0</v>
      </c>
      <c r="D32" s="34">
        <f>-1798060966.5+1798060966.5</f>
        <v>0</v>
      </c>
      <c r="E32" s="97"/>
      <c r="F32" s="97"/>
      <c r="G32" s="29"/>
    </row>
    <row r="33" spans="1:7" ht="15.75" thickBot="1" x14ac:dyDescent="0.3">
      <c r="A33" s="98" t="s">
        <v>160</v>
      </c>
      <c r="B33" s="99"/>
      <c r="C33" s="85">
        <v>0</v>
      </c>
      <c r="D33" s="85">
        <v>0</v>
      </c>
      <c r="E33" s="97"/>
      <c r="F33" s="97"/>
      <c r="G33" s="29"/>
    </row>
    <row r="34" spans="1:7" ht="15.75" thickBot="1" x14ac:dyDescent="0.3">
      <c r="A34" s="86" t="s">
        <v>161</v>
      </c>
      <c r="B34" s="87"/>
      <c r="C34" s="45">
        <f>C29+C30</f>
        <v>16047992070.6</v>
      </c>
      <c r="D34" s="45">
        <f>D29+D30</f>
        <v>16873524097.380005</v>
      </c>
      <c r="E34" s="97"/>
      <c r="F34" s="97"/>
      <c r="G34" s="29"/>
    </row>
    <row r="35" spans="1:7" x14ac:dyDescent="0.25">
      <c r="A35" s="100"/>
      <c r="B35" s="100"/>
      <c r="C35" s="101"/>
      <c r="D35" s="101"/>
    </row>
    <row r="36" spans="1:7" x14ac:dyDescent="0.25">
      <c r="A36" s="100"/>
      <c r="B36" s="100"/>
      <c r="C36" s="100"/>
      <c r="D36" s="100"/>
    </row>
    <row r="37" spans="1:7" x14ac:dyDescent="0.25">
      <c r="A37" s="46"/>
      <c r="B37" s="46"/>
      <c r="C37" s="46"/>
      <c r="D37" s="46"/>
    </row>
    <row r="38" spans="1:7" x14ac:dyDescent="0.25">
      <c r="A38" s="53"/>
      <c r="B38" s="53"/>
      <c r="C38" s="53"/>
      <c r="D38" s="53"/>
    </row>
    <row r="39" spans="1:7" x14ac:dyDescent="0.25">
      <c r="A39" s="53"/>
      <c r="B39" s="52">
        <v>45057</v>
      </c>
      <c r="C39" s="52"/>
      <c r="D39" s="53"/>
    </row>
    <row r="40" spans="1:7" x14ac:dyDescent="0.25">
      <c r="A40" s="53"/>
      <c r="B40" s="54" t="s">
        <v>127</v>
      </c>
      <c r="C40" s="54"/>
      <c r="D40" s="53"/>
    </row>
    <row r="41" spans="1:7" ht="30" x14ac:dyDescent="0.25">
      <c r="A41" s="53" t="s">
        <v>162</v>
      </c>
      <c r="B41" s="53"/>
      <c r="C41" s="53"/>
      <c r="D41" s="53" t="s">
        <v>80</v>
      </c>
    </row>
    <row r="42" spans="1:7" x14ac:dyDescent="0.25">
      <c r="A42" s="53" t="s">
        <v>81</v>
      </c>
      <c r="B42" s="53"/>
      <c r="C42" s="53"/>
      <c r="D42" s="53" t="s">
        <v>82</v>
      </c>
    </row>
    <row r="45" spans="1:7" x14ac:dyDescent="0.25">
      <c r="A45" s="56"/>
    </row>
    <row r="48" spans="1:7" x14ac:dyDescent="0.25">
      <c r="A48" s="57"/>
    </row>
  </sheetData>
  <mergeCells count="41">
    <mergeCell ref="C35:D35"/>
    <mergeCell ref="A36:D36"/>
    <mergeCell ref="A37:D37"/>
    <mergeCell ref="B39:C39"/>
    <mergeCell ref="B40:C40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A3"/>
    <mergeCell ref="B1:C2"/>
    <mergeCell ref="D1:D3"/>
    <mergeCell ref="B3:C3"/>
    <mergeCell ref="B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9"/>
  <sheetViews>
    <sheetView tabSelected="1" view="pageLayout" topLeftCell="A662" zoomScaleNormal="100" workbookViewId="0">
      <selection activeCell="B693" sqref="B693"/>
    </sheetView>
  </sheetViews>
  <sheetFormatPr defaultRowHeight="12.75" x14ac:dyDescent="0.25"/>
  <cols>
    <col min="1" max="1" width="22.85546875" style="107" customWidth="1"/>
    <col min="2" max="2" width="21.28515625" style="107" customWidth="1"/>
    <col min="3" max="3" width="19" style="107" customWidth="1"/>
    <col min="4" max="4" width="18" style="107" customWidth="1"/>
    <col min="5" max="5" width="19.7109375" style="107" customWidth="1"/>
    <col min="6" max="6" width="16.140625" style="107" customWidth="1"/>
    <col min="7" max="7" width="16.42578125" style="107" customWidth="1"/>
    <col min="8" max="8" width="14.85546875" style="107" customWidth="1"/>
    <col min="9" max="9" width="16.140625" style="107" customWidth="1"/>
    <col min="10" max="10" width="33" style="107" customWidth="1"/>
    <col min="11" max="11" width="18.28515625" style="107" customWidth="1"/>
    <col min="12" max="256" width="9.140625" style="107"/>
    <col min="257" max="257" width="22.85546875" style="107" customWidth="1"/>
    <col min="258" max="258" width="19.140625" style="107" customWidth="1"/>
    <col min="259" max="259" width="20" style="107" customWidth="1"/>
    <col min="260" max="260" width="18" style="107" customWidth="1"/>
    <col min="261" max="261" width="19.7109375" style="107" customWidth="1"/>
    <col min="262" max="262" width="16.140625" style="107" customWidth="1"/>
    <col min="263" max="263" width="16.42578125" style="107" customWidth="1"/>
    <col min="264" max="264" width="12.140625" style="107" customWidth="1"/>
    <col min="265" max="265" width="13.140625" style="107" customWidth="1"/>
    <col min="266" max="266" width="13.7109375" style="107" customWidth="1"/>
    <col min="267" max="267" width="18.28515625" style="107" customWidth="1"/>
    <col min="268" max="512" width="9.140625" style="107"/>
    <col min="513" max="513" width="22.85546875" style="107" customWidth="1"/>
    <col min="514" max="514" width="19.140625" style="107" customWidth="1"/>
    <col min="515" max="515" width="20" style="107" customWidth="1"/>
    <col min="516" max="516" width="18" style="107" customWidth="1"/>
    <col min="517" max="517" width="19.7109375" style="107" customWidth="1"/>
    <col min="518" max="518" width="16.140625" style="107" customWidth="1"/>
    <col min="519" max="519" width="16.42578125" style="107" customWidth="1"/>
    <col min="520" max="520" width="12.140625" style="107" customWidth="1"/>
    <col min="521" max="521" width="13.140625" style="107" customWidth="1"/>
    <col min="522" max="522" width="13.7109375" style="107" customWidth="1"/>
    <col min="523" max="523" width="18.28515625" style="107" customWidth="1"/>
    <col min="524" max="768" width="9.140625" style="107"/>
    <col min="769" max="769" width="22.85546875" style="107" customWidth="1"/>
    <col min="770" max="770" width="19.140625" style="107" customWidth="1"/>
    <col min="771" max="771" width="20" style="107" customWidth="1"/>
    <col min="772" max="772" width="18" style="107" customWidth="1"/>
    <col min="773" max="773" width="19.7109375" style="107" customWidth="1"/>
    <col min="774" max="774" width="16.140625" style="107" customWidth="1"/>
    <col min="775" max="775" width="16.42578125" style="107" customWidth="1"/>
    <col min="776" max="776" width="12.140625" style="107" customWidth="1"/>
    <col min="777" max="777" width="13.140625" style="107" customWidth="1"/>
    <col min="778" max="778" width="13.7109375" style="107" customWidth="1"/>
    <col min="779" max="779" width="18.28515625" style="107" customWidth="1"/>
    <col min="780" max="1024" width="9.140625" style="107"/>
    <col min="1025" max="1025" width="22.85546875" style="107" customWidth="1"/>
    <col min="1026" max="1026" width="19.140625" style="107" customWidth="1"/>
    <col min="1027" max="1027" width="20" style="107" customWidth="1"/>
    <col min="1028" max="1028" width="18" style="107" customWidth="1"/>
    <col min="1029" max="1029" width="19.7109375" style="107" customWidth="1"/>
    <col min="1030" max="1030" width="16.140625" style="107" customWidth="1"/>
    <col min="1031" max="1031" width="16.42578125" style="107" customWidth="1"/>
    <col min="1032" max="1032" width="12.140625" style="107" customWidth="1"/>
    <col min="1033" max="1033" width="13.140625" style="107" customWidth="1"/>
    <col min="1034" max="1034" width="13.7109375" style="107" customWidth="1"/>
    <col min="1035" max="1035" width="18.28515625" style="107" customWidth="1"/>
    <col min="1036" max="1280" width="9.140625" style="107"/>
    <col min="1281" max="1281" width="22.85546875" style="107" customWidth="1"/>
    <col min="1282" max="1282" width="19.140625" style="107" customWidth="1"/>
    <col min="1283" max="1283" width="20" style="107" customWidth="1"/>
    <col min="1284" max="1284" width="18" style="107" customWidth="1"/>
    <col min="1285" max="1285" width="19.7109375" style="107" customWidth="1"/>
    <col min="1286" max="1286" width="16.140625" style="107" customWidth="1"/>
    <col min="1287" max="1287" width="16.42578125" style="107" customWidth="1"/>
    <col min="1288" max="1288" width="12.140625" style="107" customWidth="1"/>
    <col min="1289" max="1289" width="13.140625" style="107" customWidth="1"/>
    <col min="1290" max="1290" width="13.7109375" style="107" customWidth="1"/>
    <col min="1291" max="1291" width="18.28515625" style="107" customWidth="1"/>
    <col min="1292" max="1536" width="9.140625" style="107"/>
    <col min="1537" max="1537" width="22.85546875" style="107" customWidth="1"/>
    <col min="1538" max="1538" width="19.140625" style="107" customWidth="1"/>
    <col min="1539" max="1539" width="20" style="107" customWidth="1"/>
    <col min="1540" max="1540" width="18" style="107" customWidth="1"/>
    <col min="1541" max="1541" width="19.7109375" style="107" customWidth="1"/>
    <col min="1542" max="1542" width="16.140625" style="107" customWidth="1"/>
    <col min="1543" max="1543" width="16.42578125" style="107" customWidth="1"/>
    <col min="1544" max="1544" width="12.140625" style="107" customWidth="1"/>
    <col min="1545" max="1545" width="13.140625" style="107" customWidth="1"/>
    <col min="1546" max="1546" width="13.7109375" style="107" customWidth="1"/>
    <col min="1547" max="1547" width="18.28515625" style="107" customWidth="1"/>
    <col min="1548" max="1792" width="9.140625" style="107"/>
    <col min="1793" max="1793" width="22.85546875" style="107" customWidth="1"/>
    <col min="1794" max="1794" width="19.140625" style="107" customWidth="1"/>
    <col min="1795" max="1795" width="20" style="107" customWidth="1"/>
    <col min="1796" max="1796" width="18" style="107" customWidth="1"/>
    <col min="1797" max="1797" width="19.7109375" style="107" customWidth="1"/>
    <col min="1798" max="1798" width="16.140625" style="107" customWidth="1"/>
    <col min="1799" max="1799" width="16.42578125" style="107" customWidth="1"/>
    <col min="1800" max="1800" width="12.140625" style="107" customWidth="1"/>
    <col min="1801" max="1801" width="13.140625" style="107" customWidth="1"/>
    <col min="1802" max="1802" width="13.7109375" style="107" customWidth="1"/>
    <col min="1803" max="1803" width="18.28515625" style="107" customWidth="1"/>
    <col min="1804" max="2048" width="9.140625" style="107"/>
    <col min="2049" max="2049" width="22.85546875" style="107" customWidth="1"/>
    <col min="2050" max="2050" width="19.140625" style="107" customWidth="1"/>
    <col min="2051" max="2051" width="20" style="107" customWidth="1"/>
    <col min="2052" max="2052" width="18" style="107" customWidth="1"/>
    <col min="2053" max="2053" width="19.7109375" style="107" customWidth="1"/>
    <col min="2054" max="2054" width="16.140625" style="107" customWidth="1"/>
    <col min="2055" max="2055" width="16.42578125" style="107" customWidth="1"/>
    <col min="2056" max="2056" width="12.140625" style="107" customWidth="1"/>
    <col min="2057" max="2057" width="13.140625" style="107" customWidth="1"/>
    <col min="2058" max="2058" width="13.7109375" style="107" customWidth="1"/>
    <col min="2059" max="2059" width="18.28515625" style="107" customWidth="1"/>
    <col min="2060" max="2304" width="9.140625" style="107"/>
    <col min="2305" max="2305" width="22.85546875" style="107" customWidth="1"/>
    <col min="2306" max="2306" width="19.140625" style="107" customWidth="1"/>
    <col min="2307" max="2307" width="20" style="107" customWidth="1"/>
    <col min="2308" max="2308" width="18" style="107" customWidth="1"/>
    <col min="2309" max="2309" width="19.7109375" style="107" customWidth="1"/>
    <col min="2310" max="2310" width="16.140625" style="107" customWidth="1"/>
    <col min="2311" max="2311" width="16.42578125" style="107" customWidth="1"/>
    <col min="2312" max="2312" width="12.140625" style="107" customWidth="1"/>
    <col min="2313" max="2313" width="13.140625" style="107" customWidth="1"/>
    <col min="2314" max="2314" width="13.7109375" style="107" customWidth="1"/>
    <col min="2315" max="2315" width="18.28515625" style="107" customWidth="1"/>
    <col min="2316" max="2560" width="9.140625" style="107"/>
    <col min="2561" max="2561" width="22.85546875" style="107" customWidth="1"/>
    <col min="2562" max="2562" width="19.140625" style="107" customWidth="1"/>
    <col min="2563" max="2563" width="20" style="107" customWidth="1"/>
    <col min="2564" max="2564" width="18" style="107" customWidth="1"/>
    <col min="2565" max="2565" width="19.7109375" style="107" customWidth="1"/>
    <col min="2566" max="2566" width="16.140625" style="107" customWidth="1"/>
    <col min="2567" max="2567" width="16.42578125" style="107" customWidth="1"/>
    <col min="2568" max="2568" width="12.140625" style="107" customWidth="1"/>
    <col min="2569" max="2569" width="13.140625" style="107" customWidth="1"/>
    <col min="2570" max="2570" width="13.7109375" style="107" customWidth="1"/>
    <col min="2571" max="2571" width="18.28515625" style="107" customWidth="1"/>
    <col min="2572" max="2816" width="9.140625" style="107"/>
    <col min="2817" max="2817" width="22.85546875" style="107" customWidth="1"/>
    <col min="2818" max="2818" width="19.140625" style="107" customWidth="1"/>
    <col min="2819" max="2819" width="20" style="107" customWidth="1"/>
    <col min="2820" max="2820" width="18" style="107" customWidth="1"/>
    <col min="2821" max="2821" width="19.7109375" style="107" customWidth="1"/>
    <col min="2822" max="2822" width="16.140625" style="107" customWidth="1"/>
    <col min="2823" max="2823" width="16.42578125" style="107" customWidth="1"/>
    <col min="2824" max="2824" width="12.140625" style="107" customWidth="1"/>
    <col min="2825" max="2825" width="13.140625" style="107" customWidth="1"/>
    <col min="2826" max="2826" width="13.7109375" style="107" customWidth="1"/>
    <col min="2827" max="2827" width="18.28515625" style="107" customWidth="1"/>
    <col min="2828" max="3072" width="9.140625" style="107"/>
    <col min="3073" max="3073" width="22.85546875" style="107" customWidth="1"/>
    <col min="3074" max="3074" width="19.140625" style="107" customWidth="1"/>
    <col min="3075" max="3075" width="20" style="107" customWidth="1"/>
    <col min="3076" max="3076" width="18" style="107" customWidth="1"/>
    <col min="3077" max="3077" width="19.7109375" style="107" customWidth="1"/>
    <col min="3078" max="3078" width="16.140625" style="107" customWidth="1"/>
    <col min="3079" max="3079" width="16.42578125" style="107" customWidth="1"/>
    <col min="3080" max="3080" width="12.140625" style="107" customWidth="1"/>
    <col min="3081" max="3081" width="13.140625" style="107" customWidth="1"/>
    <col min="3082" max="3082" width="13.7109375" style="107" customWidth="1"/>
    <col min="3083" max="3083" width="18.28515625" style="107" customWidth="1"/>
    <col min="3084" max="3328" width="9.140625" style="107"/>
    <col min="3329" max="3329" width="22.85546875" style="107" customWidth="1"/>
    <col min="3330" max="3330" width="19.140625" style="107" customWidth="1"/>
    <col min="3331" max="3331" width="20" style="107" customWidth="1"/>
    <col min="3332" max="3332" width="18" style="107" customWidth="1"/>
    <col min="3333" max="3333" width="19.7109375" style="107" customWidth="1"/>
    <col min="3334" max="3334" width="16.140625" style="107" customWidth="1"/>
    <col min="3335" max="3335" width="16.42578125" style="107" customWidth="1"/>
    <col min="3336" max="3336" width="12.140625" style="107" customWidth="1"/>
    <col min="3337" max="3337" width="13.140625" style="107" customWidth="1"/>
    <col min="3338" max="3338" width="13.7109375" style="107" customWidth="1"/>
    <col min="3339" max="3339" width="18.28515625" style="107" customWidth="1"/>
    <col min="3340" max="3584" width="9.140625" style="107"/>
    <col min="3585" max="3585" width="22.85546875" style="107" customWidth="1"/>
    <col min="3586" max="3586" width="19.140625" style="107" customWidth="1"/>
    <col min="3587" max="3587" width="20" style="107" customWidth="1"/>
    <col min="3588" max="3588" width="18" style="107" customWidth="1"/>
    <col min="3589" max="3589" width="19.7109375" style="107" customWidth="1"/>
    <col min="3590" max="3590" width="16.140625" style="107" customWidth="1"/>
    <col min="3591" max="3591" width="16.42578125" style="107" customWidth="1"/>
    <col min="3592" max="3592" width="12.140625" style="107" customWidth="1"/>
    <col min="3593" max="3593" width="13.140625" style="107" customWidth="1"/>
    <col min="3594" max="3594" width="13.7109375" style="107" customWidth="1"/>
    <col min="3595" max="3595" width="18.28515625" style="107" customWidth="1"/>
    <col min="3596" max="3840" width="9.140625" style="107"/>
    <col min="3841" max="3841" width="22.85546875" style="107" customWidth="1"/>
    <col min="3842" max="3842" width="19.140625" style="107" customWidth="1"/>
    <col min="3843" max="3843" width="20" style="107" customWidth="1"/>
    <col min="3844" max="3844" width="18" style="107" customWidth="1"/>
    <col min="3845" max="3845" width="19.7109375" style="107" customWidth="1"/>
    <col min="3846" max="3846" width="16.140625" style="107" customWidth="1"/>
    <col min="3847" max="3847" width="16.42578125" style="107" customWidth="1"/>
    <col min="3848" max="3848" width="12.140625" style="107" customWidth="1"/>
    <col min="3849" max="3849" width="13.140625" style="107" customWidth="1"/>
    <col min="3850" max="3850" width="13.7109375" style="107" customWidth="1"/>
    <col min="3851" max="3851" width="18.28515625" style="107" customWidth="1"/>
    <col min="3852" max="4096" width="9.140625" style="107"/>
    <col min="4097" max="4097" width="22.85546875" style="107" customWidth="1"/>
    <col min="4098" max="4098" width="19.140625" style="107" customWidth="1"/>
    <col min="4099" max="4099" width="20" style="107" customWidth="1"/>
    <col min="4100" max="4100" width="18" style="107" customWidth="1"/>
    <col min="4101" max="4101" width="19.7109375" style="107" customWidth="1"/>
    <col min="4102" max="4102" width="16.140625" style="107" customWidth="1"/>
    <col min="4103" max="4103" width="16.42578125" style="107" customWidth="1"/>
    <col min="4104" max="4104" width="12.140625" style="107" customWidth="1"/>
    <col min="4105" max="4105" width="13.140625" style="107" customWidth="1"/>
    <col min="4106" max="4106" width="13.7109375" style="107" customWidth="1"/>
    <col min="4107" max="4107" width="18.28515625" style="107" customWidth="1"/>
    <col min="4108" max="4352" width="9.140625" style="107"/>
    <col min="4353" max="4353" width="22.85546875" style="107" customWidth="1"/>
    <col min="4354" max="4354" width="19.140625" style="107" customWidth="1"/>
    <col min="4355" max="4355" width="20" style="107" customWidth="1"/>
    <col min="4356" max="4356" width="18" style="107" customWidth="1"/>
    <col min="4357" max="4357" width="19.7109375" style="107" customWidth="1"/>
    <col min="4358" max="4358" width="16.140625" style="107" customWidth="1"/>
    <col min="4359" max="4359" width="16.42578125" style="107" customWidth="1"/>
    <col min="4360" max="4360" width="12.140625" style="107" customWidth="1"/>
    <col min="4361" max="4361" width="13.140625" style="107" customWidth="1"/>
    <col min="4362" max="4362" width="13.7109375" style="107" customWidth="1"/>
    <col min="4363" max="4363" width="18.28515625" style="107" customWidth="1"/>
    <col min="4364" max="4608" width="9.140625" style="107"/>
    <col min="4609" max="4609" width="22.85546875" style="107" customWidth="1"/>
    <col min="4610" max="4610" width="19.140625" style="107" customWidth="1"/>
    <col min="4611" max="4611" width="20" style="107" customWidth="1"/>
    <col min="4612" max="4612" width="18" style="107" customWidth="1"/>
    <col min="4613" max="4613" width="19.7109375" style="107" customWidth="1"/>
    <col min="4614" max="4614" width="16.140625" style="107" customWidth="1"/>
    <col min="4615" max="4615" width="16.42578125" style="107" customWidth="1"/>
    <col min="4616" max="4616" width="12.140625" style="107" customWidth="1"/>
    <col min="4617" max="4617" width="13.140625" style="107" customWidth="1"/>
    <col min="4618" max="4618" width="13.7109375" style="107" customWidth="1"/>
    <col min="4619" max="4619" width="18.28515625" style="107" customWidth="1"/>
    <col min="4620" max="4864" width="9.140625" style="107"/>
    <col min="4865" max="4865" width="22.85546875" style="107" customWidth="1"/>
    <col min="4866" max="4866" width="19.140625" style="107" customWidth="1"/>
    <col min="4867" max="4867" width="20" style="107" customWidth="1"/>
    <col min="4868" max="4868" width="18" style="107" customWidth="1"/>
    <col min="4869" max="4869" width="19.7109375" style="107" customWidth="1"/>
    <col min="4870" max="4870" width="16.140625" style="107" customWidth="1"/>
    <col min="4871" max="4871" width="16.42578125" style="107" customWidth="1"/>
    <col min="4872" max="4872" width="12.140625" style="107" customWidth="1"/>
    <col min="4873" max="4873" width="13.140625" style="107" customWidth="1"/>
    <col min="4874" max="4874" width="13.7109375" style="107" customWidth="1"/>
    <col min="4875" max="4875" width="18.28515625" style="107" customWidth="1"/>
    <col min="4876" max="5120" width="9.140625" style="107"/>
    <col min="5121" max="5121" width="22.85546875" style="107" customWidth="1"/>
    <col min="5122" max="5122" width="19.140625" style="107" customWidth="1"/>
    <col min="5123" max="5123" width="20" style="107" customWidth="1"/>
    <col min="5124" max="5124" width="18" style="107" customWidth="1"/>
    <col min="5125" max="5125" width="19.7109375" style="107" customWidth="1"/>
    <col min="5126" max="5126" width="16.140625" style="107" customWidth="1"/>
    <col min="5127" max="5127" width="16.42578125" style="107" customWidth="1"/>
    <col min="5128" max="5128" width="12.140625" style="107" customWidth="1"/>
    <col min="5129" max="5129" width="13.140625" style="107" customWidth="1"/>
    <col min="5130" max="5130" width="13.7109375" style="107" customWidth="1"/>
    <col min="5131" max="5131" width="18.28515625" style="107" customWidth="1"/>
    <col min="5132" max="5376" width="9.140625" style="107"/>
    <col min="5377" max="5377" width="22.85546875" style="107" customWidth="1"/>
    <col min="5378" max="5378" width="19.140625" style="107" customWidth="1"/>
    <col min="5379" max="5379" width="20" style="107" customWidth="1"/>
    <col min="5380" max="5380" width="18" style="107" customWidth="1"/>
    <col min="5381" max="5381" width="19.7109375" style="107" customWidth="1"/>
    <col min="5382" max="5382" width="16.140625" style="107" customWidth="1"/>
    <col min="5383" max="5383" width="16.42578125" style="107" customWidth="1"/>
    <col min="5384" max="5384" width="12.140625" style="107" customWidth="1"/>
    <col min="5385" max="5385" width="13.140625" style="107" customWidth="1"/>
    <col min="5386" max="5386" width="13.7109375" style="107" customWidth="1"/>
    <col min="5387" max="5387" width="18.28515625" style="107" customWidth="1"/>
    <col min="5388" max="5632" width="9.140625" style="107"/>
    <col min="5633" max="5633" width="22.85546875" style="107" customWidth="1"/>
    <col min="5634" max="5634" width="19.140625" style="107" customWidth="1"/>
    <col min="5635" max="5635" width="20" style="107" customWidth="1"/>
    <col min="5636" max="5636" width="18" style="107" customWidth="1"/>
    <col min="5637" max="5637" width="19.7109375" style="107" customWidth="1"/>
    <col min="5638" max="5638" width="16.140625" style="107" customWidth="1"/>
    <col min="5639" max="5639" width="16.42578125" style="107" customWidth="1"/>
    <col min="5640" max="5640" width="12.140625" style="107" customWidth="1"/>
    <col min="5641" max="5641" width="13.140625" style="107" customWidth="1"/>
    <col min="5642" max="5642" width="13.7109375" style="107" customWidth="1"/>
    <col min="5643" max="5643" width="18.28515625" style="107" customWidth="1"/>
    <col min="5644" max="5888" width="9.140625" style="107"/>
    <col min="5889" max="5889" width="22.85546875" style="107" customWidth="1"/>
    <col min="5890" max="5890" width="19.140625" style="107" customWidth="1"/>
    <col min="5891" max="5891" width="20" style="107" customWidth="1"/>
    <col min="5892" max="5892" width="18" style="107" customWidth="1"/>
    <col min="5893" max="5893" width="19.7109375" style="107" customWidth="1"/>
    <col min="5894" max="5894" width="16.140625" style="107" customWidth="1"/>
    <col min="5895" max="5895" width="16.42578125" style="107" customWidth="1"/>
    <col min="5896" max="5896" width="12.140625" style="107" customWidth="1"/>
    <col min="5897" max="5897" width="13.140625" style="107" customWidth="1"/>
    <col min="5898" max="5898" width="13.7109375" style="107" customWidth="1"/>
    <col min="5899" max="5899" width="18.28515625" style="107" customWidth="1"/>
    <col min="5900" max="6144" width="9.140625" style="107"/>
    <col min="6145" max="6145" width="22.85546875" style="107" customWidth="1"/>
    <col min="6146" max="6146" width="19.140625" style="107" customWidth="1"/>
    <col min="6147" max="6147" width="20" style="107" customWidth="1"/>
    <col min="6148" max="6148" width="18" style="107" customWidth="1"/>
    <col min="6149" max="6149" width="19.7109375" style="107" customWidth="1"/>
    <col min="6150" max="6150" width="16.140625" style="107" customWidth="1"/>
    <col min="6151" max="6151" width="16.42578125" style="107" customWidth="1"/>
    <col min="6152" max="6152" width="12.140625" style="107" customWidth="1"/>
    <col min="6153" max="6153" width="13.140625" style="107" customWidth="1"/>
    <col min="6154" max="6154" width="13.7109375" style="107" customWidth="1"/>
    <col min="6155" max="6155" width="18.28515625" style="107" customWidth="1"/>
    <col min="6156" max="6400" width="9.140625" style="107"/>
    <col min="6401" max="6401" width="22.85546875" style="107" customWidth="1"/>
    <col min="6402" max="6402" width="19.140625" style="107" customWidth="1"/>
    <col min="6403" max="6403" width="20" style="107" customWidth="1"/>
    <col min="6404" max="6404" width="18" style="107" customWidth="1"/>
    <col min="6405" max="6405" width="19.7109375" style="107" customWidth="1"/>
    <col min="6406" max="6406" width="16.140625" style="107" customWidth="1"/>
    <col min="6407" max="6407" width="16.42578125" style="107" customWidth="1"/>
    <col min="6408" max="6408" width="12.140625" style="107" customWidth="1"/>
    <col min="6409" max="6409" width="13.140625" style="107" customWidth="1"/>
    <col min="6410" max="6410" width="13.7109375" style="107" customWidth="1"/>
    <col min="6411" max="6411" width="18.28515625" style="107" customWidth="1"/>
    <col min="6412" max="6656" width="9.140625" style="107"/>
    <col min="6657" max="6657" width="22.85546875" style="107" customWidth="1"/>
    <col min="6658" max="6658" width="19.140625" style="107" customWidth="1"/>
    <col min="6659" max="6659" width="20" style="107" customWidth="1"/>
    <col min="6660" max="6660" width="18" style="107" customWidth="1"/>
    <col min="6661" max="6661" width="19.7109375" style="107" customWidth="1"/>
    <col min="6662" max="6662" width="16.140625" style="107" customWidth="1"/>
    <col min="6663" max="6663" width="16.42578125" style="107" customWidth="1"/>
    <col min="6664" max="6664" width="12.140625" style="107" customWidth="1"/>
    <col min="6665" max="6665" width="13.140625" style="107" customWidth="1"/>
    <col min="6666" max="6666" width="13.7109375" style="107" customWidth="1"/>
    <col min="6667" max="6667" width="18.28515625" style="107" customWidth="1"/>
    <col min="6668" max="6912" width="9.140625" style="107"/>
    <col min="6913" max="6913" width="22.85546875" style="107" customWidth="1"/>
    <col min="6914" max="6914" width="19.140625" style="107" customWidth="1"/>
    <col min="6915" max="6915" width="20" style="107" customWidth="1"/>
    <col min="6916" max="6916" width="18" style="107" customWidth="1"/>
    <col min="6917" max="6917" width="19.7109375" style="107" customWidth="1"/>
    <col min="6918" max="6918" width="16.140625" style="107" customWidth="1"/>
    <col min="6919" max="6919" width="16.42578125" style="107" customWidth="1"/>
    <col min="6920" max="6920" width="12.140625" style="107" customWidth="1"/>
    <col min="6921" max="6921" width="13.140625" style="107" customWidth="1"/>
    <col min="6922" max="6922" width="13.7109375" style="107" customWidth="1"/>
    <col min="6923" max="6923" width="18.28515625" style="107" customWidth="1"/>
    <col min="6924" max="7168" width="9.140625" style="107"/>
    <col min="7169" max="7169" width="22.85546875" style="107" customWidth="1"/>
    <col min="7170" max="7170" width="19.140625" style="107" customWidth="1"/>
    <col min="7171" max="7171" width="20" style="107" customWidth="1"/>
    <col min="7172" max="7172" width="18" style="107" customWidth="1"/>
    <col min="7173" max="7173" width="19.7109375" style="107" customWidth="1"/>
    <col min="7174" max="7174" width="16.140625" style="107" customWidth="1"/>
    <col min="7175" max="7175" width="16.42578125" style="107" customWidth="1"/>
    <col min="7176" max="7176" width="12.140625" style="107" customWidth="1"/>
    <col min="7177" max="7177" width="13.140625" style="107" customWidth="1"/>
    <col min="7178" max="7178" width="13.7109375" style="107" customWidth="1"/>
    <col min="7179" max="7179" width="18.28515625" style="107" customWidth="1"/>
    <col min="7180" max="7424" width="9.140625" style="107"/>
    <col min="7425" max="7425" width="22.85546875" style="107" customWidth="1"/>
    <col min="7426" max="7426" width="19.140625" style="107" customWidth="1"/>
    <col min="7427" max="7427" width="20" style="107" customWidth="1"/>
    <col min="7428" max="7428" width="18" style="107" customWidth="1"/>
    <col min="7429" max="7429" width="19.7109375" style="107" customWidth="1"/>
    <col min="7430" max="7430" width="16.140625" style="107" customWidth="1"/>
    <col min="7431" max="7431" width="16.42578125" style="107" customWidth="1"/>
    <col min="7432" max="7432" width="12.140625" style="107" customWidth="1"/>
    <col min="7433" max="7433" width="13.140625" style="107" customWidth="1"/>
    <col min="7434" max="7434" width="13.7109375" style="107" customWidth="1"/>
    <col min="7435" max="7435" width="18.28515625" style="107" customWidth="1"/>
    <col min="7436" max="7680" width="9.140625" style="107"/>
    <col min="7681" max="7681" width="22.85546875" style="107" customWidth="1"/>
    <col min="7682" max="7682" width="19.140625" style="107" customWidth="1"/>
    <col min="7683" max="7683" width="20" style="107" customWidth="1"/>
    <col min="7684" max="7684" width="18" style="107" customWidth="1"/>
    <col min="7685" max="7685" width="19.7109375" style="107" customWidth="1"/>
    <col min="7686" max="7686" width="16.140625" style="107" customWidth="1"/>
    <col min="7687" max="7687" width="16.42578125" style="107" customWidth="1"/>
    <col min="7688" max="7688" width="12.140625" style="107" customWidth="1"/>
    <col min="7689" max="7689" width="13.140625" style="107" customWidth="1"/>
    <col min="7690" max="7690" width="13.7109375" style="107" customWidth="1"/>
    <col min="7691" max="7691" width="18.28515625" style="107" customWidth="1"/>
    <col min="7692" max="7936" width="9.140625" style="107"/>
    <col min="7937" max="7937" width="22.85546875" style="107" customWidth="1"/>
    <col min="7938" max="7938" width="19.140625" style="107" customWidth="1"/>
    <col min="7939" max="7939" width="20" style="107" customWidth="1"/>
    <col min="7940" max="7940" width="18" style="107" customWidth="1"/>
    <col min="7941" max="7941" width="19.7109375" style="107" customWidth="1"/>
    <col min="7942" max="7942" width="16.140625" style="107" customWidth="1"/>
    <col min="7943" max="7943" width="16.42578125" style="107" customWidth="1"/>
    <col min="7944" max="7944" width="12.140625" style="107" customWidth="1"/>
    <col min="7945" max="7945" width="13.140625" style="107" customWidth="1"/>
    <col min="7946" max="7946" width="13.7109375" style="107" customWidth="1"/>
    <col min="7947" max="7947" width="18.28515625" style="107" customWidth="1"/>
    <col min="7948" max="8192" width="9.140625" style="107"/>
    <col min="8193" max="8193" width="22.85546875" style="107" customWidth="1"/>
    <col min="8194" max="8194" width="19.140625" style="107" customWidth="1"/>
    <col min="8195" max="8195" width="20" style="107" customWidth="1"/>
    <col min="8196" max="8196" width="18" style="107" customWidth="1"/>
    <col min="8197" max="8197" width="19.7109375" style="107" customWidth="1"/>
    <col min="8198" max="8198" width="16.140625" style="107" customWidth="1"/>
    <col min="8199" max="8199" width="16.42578125" style="107" customWidth="1"/>
    <col min="8200" max="8200" width="12.140625" style="107" customWidth="1"/>
    <col min="8201" max="8201" width="13.140625" style="107" customWidth="1"/>
    <col min="8202" max="8202" width="13.7109375" style="107" customWidth="1"/>
    <col min="8203" max="8203" width="18.28515625" style="107" customWidth="1"/>
    <col min="8204" max="8448" width="9.140625" style="107"/>
    <col min="8449" max="8449" width="22.85546875" style="107" customWidth="1"/>
    <col min="8450" max="8450" width="19.140625" style="107" customWidth="1"/>
    <col min="8451" max="8451" width="20" style="107" customWidth="1"/>
    <col min="8452" max="8452" width="18" style="107" customWidth="1"/>
    <col min="8453" max="8453" width="19.7109375" style="107" customWidth="1"/>
    <col min="8454" max="8454" width="16.140625" style="107" customWidth="1"/>
    <col min="8455" max="8455" width="16.42578125" style="107" customWidth="1"/>
    <col min="8456" max="8456" width="12.140625" style="107" customWidth="1"/>
    <col min="8457" max="8457" width="13.140625" style="107" customWidth="1"/>
    <col min="8458" max="8458" width="13.7109375" style="107" customWidth="1"/>
    <col min="8459" max="8459" width="18.28515625" style="107" customWidth="1"/>
    <col min="8460" max="8704" width="9.140625" style="107"/>
    <col min="8705" max="8705" width="22.85546875" style="107" customWidth="1"/>
    <col min="8706" max="8706" width="19.140625" style="107" customWidth="1"/>
    <col min="8707" max="8707" width="20" style="107" customWidth="1"/>
    <col min="8708" max="8708" width="18" style="107" customWidth="1"/>
    <col min="8709" max="8709" width="19.7109375" style="107" customWidth="1"/>
    <col min="8710" max="8710" width="16.140625" style="107" customWidth="1"/>
    <col min="8711" max="8711" width="16.42578125" style="107" customWidth="1"/>
    <col min="8712" max="8712" width="12.140625" style="107" customWidth="1"/>
    <col min="8713" max="8713" width="13.140625" style="107" customWidth="1"/>
    <col min="8714" max="8714" width="13.7109375" style="107" customWidth="1"/>
    <col min="8715" max="8715" width="18.28515625" style="107" customWidth="1"/>
    <col min="8716" max="8960" width="9.140625" style="107"/>
    <col min="8961" max="8961" width="22.85546875" style="107" customWidth="1"/>
    <col min="8962" max="8962" width="19.140625" style="107" customWidth="1"/>
    <col min="8963" max="8963" width="20" style="107" customWidth="1"/>
    <col min="8964" max="8964" width="18" style="107" customWidth="1"/>
    <col min="8965" max="8965" width="19.7109375" style="107" customWidth="1"/>
    <col min="8966" max="8966" width="16.140625" style="107" customWidth="1"/>
    <col min="8967" max="8967" width="16.42578125" style="107" customWidth="1"/>
    <col min="8968" max="8968" width="12.140625" style="107" customWidth="1"/>
    <col min="8969" max="8969" width="13.140625" style="107" customWidth="1"/>
    <col min="8970" max="8970" width="13.7109375" style="107" customWidth="1"/>
    <col min="8971" max="8971" width="18.28515625" style="107" customWidth="1"/>
    <col min="8972" max="9216" width="9.140625" style="107"/>
    <col min="9217" max="9217" width="22.85546875" style="107" customWidth="1"/>
    <col min="9218" max="9218" width="19.140625" style="107" customWidth="1"/>
    <col min="9219" max="9219" width="20" style="107" customWidth="1"/>
    <col min="9220" max="9220" width="18" style="107" customWidth="1"/>
    <col min="9221" max="9221" width="19.7109375" style="107" customWidth="1"/>
    <col min="9222" max="9222" width="16.140625" style="107" customWidth="1"/>
    <col min="9223" max="9223" width="16.42578125" style="107" customWidth="1"/>
    <col min="9224" max="9224" width="12.140625" style="107" customWidth="1"/>
    <col min="9225" max="9225" width="13.140625" style="107" customWidth="1"/>
    <col min="9226" max="9226" width="13.7109375" style="107" customWidth="1"/>
    <col min="9227" max="9227" width="18.28515625" style="107" customWidth="1"/>
    <col min="9228" max="9472" width="9.140625" style="107"/>
    <col min="9473" max="9473" width="22.85546875" style="107" customWidth="1"/>
    <col min="9474" max="9474" width="19.140625" style="107" customWidth="1"/>
    <col min="9475" max="9475" width="20" style="107" customWidth="1"/>
    <col min="9476" max="9476" width="18" style="107" customWidth="1"/>
    <col min="9477" max="9477" width="19.7109375" style="107" customWidth="1"/>
    <col min="9478" max="9478" width="16.140625" style="107" customWidth="1"/>
    <col min="9479" max="9479" width="16.42578125" style="107" customWidth="1"/>
    <col min="9480" max="9480" width="12.140625" style="107" customWidth="1"/>
    <col min="9481" max="9481" width="13.140625" style="107" customWidth="1"/>
    <col min="9482" max="9482" width="13.7109375" style="107" customWidth="1"/>
    <col min="9483" max="9483" width="18.28515625" style="107" customWidth="1"/>
    <col min="9484" max="9728" width="9.140625" style="107"/>
    <col min="9729" max="9729" width="22.85546875" style="107" customWidth="1"/>
    <col min="9730" max="9730" width="19.140625" style="107" customWidth="1"/>
    <col min="9731" max="9731" width="20" style="107" customWidth="1"/>
    <col min="9732" max="9732" width="18" style="107" customWidth="1"/>
    <col min="9733" max="9733" width="19.7109375" style="107" customWidth="1"/>
    <col min="9734" max="9734" width="16.140625" style="107" customWidth="1"/>
    <col min="9735" max="9735" width="16.42578125" style="107" customWidth="1"/>
    <col min="9736" max="9736" width="12.140625" style="107" customWidth="1"/>
    <col min="9737" max="9737" width="13.140625" style="107" customWidth="1"/>
    <col min="9738" max="9738" width="13.7109375" style="107" customWidth="1"/>
    <col min="9739" max="9739" width="18.28515625" style="107" customWidth="1"/>
    <col min="9740" max="9984" width="9.140625" style="107"/>
    <col min="9985" max="9985" width="22.85546875" style="107" customWidth="1"/>
    <col min="9986" max="9986" width="19.140625" style="107" customWidth="1"/>
    <col min="9987" max="9987" width="20" style="107" customWidth="1"/>
    <col min="9988" max="9988" width="18" style="107" customWidth="1"/>
    <col min="9989" max="9989" width="19.7109375" style="107" customWidth="1"/>
    <col min="9990" max="9990" width="16.140625" style="107" customWidth="1"/>
    <col min="9991" max="9991" width="16.42578125" style="107" customWidth="1"/>
    <col min="9992" max="9992" width="12.140625" style="107" customWidth="1"/>
    <col min="9993" max="9993" width="13.140625" style="107" customWidth="1"/>
    <col min="9994" max="9994" width="13.7109375" style="107" customWidth="1"/>
    <col min="9995" max="9995" width="18.28515625" style="107" customWidth="1"/>
    <col min="9996" max="10240" width="9.140625" style="107"/>
    <col min="10241" max="10241" width="22.85546875" style="107" customWidth="1"/>
    <col min="10242" max="10242" width="19.140625" style="107" customWidth="1"/>
    <col min="10243" max="10243" width="20" style="107" customWidth="1"/>
    <col min="10244" max="10244" width="18" style="107" customWidth="1"/>
    <col min="10245" max="10245" width="19.7109375" style="107" customWidth="1"/>
    <col min="10246" max="10246" width="16.140625" style="107" customWidth="1"/>
    <col min="10247" max="10247" width="16.42578125" style="107" customWidth="1"/>
    <col min="10248" max="10248" width="12.140625" style="107" customWidth="1"/>
    <col min="10249" max="10249" width="13.140625" style="107" customWidth="1"/>
    <col min="10250" max="10250" width="13.7109375" style="107" customWidth="1"/>
    <col min="10251" max="10251" width="18.28515625" style="107" customWidth="1"/>
    <col min="10252" max="10496" width="9.140625" style="107"/>
    <col min="10497" max="10497" width="22.85546875" style="107" customWidth="1"/>
    <col min="10498" max="10498" width="19.140625" style="107" customWidth="1"/>
    <col min="10499" max="10499" width="20" style="107" customWidth="1"/>
    <col min="10500" max="10500" width="18" style="107" customWidth="1"/>
    <col min="10501" max="10501" width="19.7109375" style="107" customWidth="1"/>
    <col min="10502" max="10502" width="16.140625" style="107" customWidth="1"/>
    <col min="10503" max="10503" width="16.42578125" style="107" customWidth="1"/>
    <col min="10504" max="10504" width="12.140625" style="107" customWidth="1"/>
    <col min="10505" max="10505" width="13.140625" style="107" customWidth="1"/>
    <col min="10506" max="10506" width="13.7109375" style="107" customWidth="1"/>
    <col min="10507" max="10507" width="18.28515625" style="107" customWidth="1"/>
    <col min="10508" max="10752" width="9.140625" style="107"/>
    <col min="10753" max="10753" width="22.85546875" style="107" customWidth="1"/>
    <col min="10754" max="10754" width="19.140625" style="107" customWidth="1"/>
    <col min="10755" max="10755" width="20" style="107" customWidth="1"/>
    <col min="10756" max="10756" width="18" style="107" customWidth="1"/>
    <col min="10757" max="10757" width="19.7109375" style="107" customWidth="1"/>
    <col min="10758" max="10758" width="16.140625" style="107" customWidth="1"/>
    <col min="10759" max="10759" width="16.42578125" style="107" customWidth="1"/>
    <col min="10760" max="10760" width="12.140625" style="107" customWidth="1"/>
    <col min="10761" max="10761" width="13.140625" style="107" customWidth="1"/>
    <col min="10762" max="10762" width="13.7109375" style="107" customWidth="1"/>
    <col min="10763" max="10763" width="18.28515625" style="107" customWidth="1"/>
    <col min="10764" max="11008" width="9.140625" style="107"/>
    <col min="11009" max="11009" width="22.85546875" style="107" customWidth="1"/>
    <col min="11010" max="11010" width="19.140625" style="107" customWidth="1"/>
    <col min="11011" max="11011" width="20" style="107" customWidth="1"/>
    <col min="11012" max="11012" width="18" style="107" customWidth="1"/>
    <col min="11013" max="11013" width="19.7109375" style="107" customWidth="1"/>
    <col min="11014" max="11014" width="16.140625" style="107" customWidth="1"/>
    <col min="11015" max="11015" width="16.42578125" style="107" customWidth="1"/>
    <col min="11016" max="11016" width="12.140625" style="107" customWidth="1"/>
    <col min="11017" max="11017" width="13.140625" style="107" customWidth="1"/>
    <col min="11018" max="11018" width="13.7109375" style="107" customWidth="1"/>
    <col min="11019" max="11019" width="18.28515625" style="107" customWidth="1"/>
    <col min="11020" max="11264" width="9.140625" style="107"/>
    <col min="11265" max="11265" width="22.85546875" style="107" customWidth="1"/>
    <col min="11266" max="11266" width="19.140625" style="107" customWidth="1"/>
    <col min="11267" max="11267" width="20" style="107" customWidth="1"/>
    <col min="11268" max="11268" width="18" style="107" customWidth="1"/>
    <col min="11269" max="11269" width="19.7109375" style="107" customWidth="1"/>
    <col min="11270" max="11270" width="16.140625" style="107" customWidth="1"/>
    <col min="11271" max="11271" width="16.42578125" style="107" customWidth="1"/>
    <col min="11272" max="11272" width="12.140625" style="107" customWidth="1"/>
    <col min="11273" max="11273" width="13.140625" style="107" customWidth="1"/>
    <col min="11274" max="11274" width="13.7109375" style="107" customWidth="1"/>
    <col min="11275" max="11275" width="18.28515625" style="107" customWidth="1"/>
    <col min="11276" max="11520" width="9.140625" style="107"/>
    <col min="11521" max="11521" width="22.85546875" style="107" customWidth="1"/>
    <col min="11522" max="11522" width="19.140625" style="107" customWidth="1"/>
    <col min="11523" max="11523" width="20" style="107" customWidth="1"/>
    <col min="11524" max="11524" width="18" style="107" customWidth="1"/>
    <col min="11525" max="11525" width="19.7109375" style="107" customWidth="1"/>
    <col min="11526" max="11526" width="16.140625" style="107" customWidth="1"/>
    <col min="11527" max="11527" width="16.42578125" style="107" customWidth="1"/>
    <col min="11528" max="11528" width="12.140625" style="107" customWidth="1"/>
    <col min="11529" max="11529" width="13.140625" style="107" customWidth="1"/>
    <col min="11530" max="11530" width="13.7109375" style="107" customWidth="1"/>
    <col min="11531" max="11531" width="18.28515625" style="107" customWidth="1"/>
    <col min="11532" max="11776" width="9.140625" style="107"/>
    <col min="11777" max="11777" width="22.85546875" style="107" customWidth="1"/>
    <col min="11778" max="11778" width="19.140625" style="107" customWidth="1"/>
    <col min="11779" max="11779" width="20" style="107" customWidth="1"/>
    <col min="11780" max="11780" width="18" style="107" customWidth="1"/>
    <col min="11781" max="11781" width="19.7109375" style="107" customWidth="1"/>
    <col min="11782" max="11782" width="16.140625" style="107" customWidth="1"/>
    <col min="11783" max="11783" width="16.42578125" style="107" customWidth="1"/>
    <col min="11784" max="11784" width="12.140625" style="107" customWidth="1"/>
    <col min="11785" max="11785" width="13.140625" style="107" customWidth="1"/>
    <col min="11786" max="11786" width="13.7109375" style="107" customWidth="1"/>
    <col min="11787" max="11787" width="18.28515625" style="107" customWidth="1"/>
    <col min="11788" max="12032" width="9.140625" style="107"/>
    <col min="12033" max="12033" width="22.85546875" style="107" customWidth="1"/>
    <col min="12034" max="12034" width="19.140625" style="107" customWidth="1"/>
    <col min="12035" max="12035" width="20" style="107" customWidth="1"/>
    <col min="12036" max="12036" width="18" style="107" customWidth="1"/>
    <col min="12037" max="12037" width="19.7109375" style="107" customWidth="1"/>
    <col min="12038" max="12038" width="16.140625" style="107" customWidth="1"/>
    <col min="12039" max="12039" width="16.42578125" style="107" customWidth="1"/>
    <col min="12040" max="12040" width="12.140625" style="107" customWidth="1"/>
    <col min="12041" max="12041" width="13.140625" style="107" customWidth="1"/>
    <col min="12042" max="12042" width="13.7109375" style="107" customWidth="1"/>
    <col min="12043" max="12043" width="18.28515625" style="107" customWidth="1"/>
    <col min="12044" max="12288" width="9.140625" style="107"/>
    <col min="12289" max="12289" width="22.85546875" style="107" customWidth="1"/>
    <col min="12290" max="12290" width="19.140625" style="107" customWidth="1"/>
    <col min="12291" max="12291" width="20" style="107" customWidth="1"/>
    <col min="12292" max="12292" width="18" style="107" customWidth="1"/>
    <col min="12293" max="12293" width="19.7109375" style="107" customWidth="1"/>
    <col min="12294" max="12294" width="16.140625" style="107" customWidth="1"/>
    <col min="12295" max="12295" width="16.42578125" style="107" customWidth="1"/>
    <col min="12296" max="12296" width="12.140625" style="107" customWidth="1"/>
    <col min="12297" max="12297" width="13.140625" style="107" customWidth="1"/>
    <col min="12298" max="12298" width="13.7109375" style="107" customWidth="1"/>
    <col min="12299" max="12299" width="18.28515625" style="107" customWidth="1"/>
    <col min="12300" max="12544" width="9.140625" style="107"/>
    <col min="12545" max="12545" width="22.85546875" style="107" customWidth="1"/>
    <col min="12546" max="12546" width="19.140625" style="107" customWidth="1"/>
    <col min="12547" max="12547" width="20" style="107" customWidth="1"/>
    <col min="12548" max="12548" width="18" style="107" customWidth="1"/>
    <col min="12549" max="12549" width="19.7109375" style="107" customWidth="1"/>
    <col min="12550" max="12550" width="16.140625" style="107" customWidth="1"/>
    <col min="12551" max="12551" width="16.42578125" style="107" customWidth="1"/>
    <col min="12552" max="12552" width="12.140625" style="107" customWidth="1"/>
    <col min="12553" max="12553" width="13.140625" style="107" customWidth="1"/>
    <col min="12554" max="12554" width="13.7109375" style="107" customWidth="1"/>
    <col min="12555" max="12555" width="18.28515625" style="107" customWidth="1"/>
    <col min="12556" max="12800" width="9.140625" style="107"/>
    <col min="12801" max="12801" width="22.85546875" style="107" customWidth="1"/>
    <col min="12802" max="12802" width="19.140625" style="107" customWidth="1"/>
    <col min="12803" max="12803" width="20" style="107" customWidth="1"/>
    <col min="12804" max="12804" width="18" style="107" customWidth="1"/>
    <col min="12805" max="12805" width="19.7109375" style="107" customWidth="1"/>
    <col min="12806" max="12806" width="16.140625" style="107" customWidth="1"/>
    <col min="12807" max="12807" width="16.42578125" style="107" customWidth="1"/>
    <col min="12808" max="12808" width="12.140625" style="107" customWidth="1"/>
    <col min="12809" max="12809" width="13.140625" style="107" customWidth="1"/>
    <col min="12810" max="12810" width="13.7109375" style="107" customWidth="1"/>
    <col min="12811" max="12811" width="18.28515625" style="107" customWidth="1"/>
    <col min="12812" max="13056" width="9.140625" style="107"/>
    <col min="13057" max="13057" width="22.85546875" style="107" customWidth="1"/>
    <col min="13058" max="13058" width="19.140625" style="107" customWidth="1"/>
    <col min="13059" max="13059" width="20" style="107" customWidth="1"/>
    <col min="13060" max="13060" width="18" style="107" customWidth="1"/>
    <col min="13061" max="13061" width="19.7109375" style="107" customWidth="1"/>
    <col min="13062" max="13062" width="16.140625" style="107" customWidth="1"/>
    <col min="13063" max="13063" width="16.42578125" style="107" customWidth="1"/>
    <col min="13064" max="13064" width="12.140625" style="107" customWidth="1"/>
    <col min="13065" max="13065" width="13.140625" style="107" customWidth="1"/>
    <col min="13066" max="13066" width="13.7109375" style="107" customWidth="1"/>
    <col min="13067" max="13067" width="18.28515625" style="107" customWidth="1"/>
    <col min="13068" max="13312" width="9.140625" style="107"/>
    <col min="13313" max="13313" width="22.85546875" style="107" customWidth="1"/>
    <col min="13314" max="13314" width="19.140625" style="107" customWidth="1"/>
    <col min="13315" max="13315" width="20" style="107" customWidth="1"/>
    <col min="13316" max="13316" width="18" style="107" customWidth="1"/>
    <col min="13317" max="13317" width="19.7109375" style="107" customWidth="1"/>
    <col min="13318" max="13318" width="16.140625" style="107" customWidth="1"/>
    <col min="13319" max="13319" width="16.42578125" style="107" customWidth="1"/>
    <col min="13320" max="13320" width="12.140625" style="107" customWidth="1"/>
    <col min="13321" max="13321" width="13.140625" style="107" customWidth="1"/>
    <col min="13322" max="13322" width="13.7109375" style="107" customWidth="1"/>
    <col min="13323" max="13323" width="18.28515625" style="107" customWidth="1"/>
    <col min="13324" max="13568" width="9.140625" style="107"/>
    <col min="13569" max="13569" width="22.85546875" style="107" customWidth="1"/>
    <col min="13570" max="13570" width="19.140625" style="107" customWidth="1"/>
    <col min="13571" max="13571" width="20" style="107" customWidth="1"/>
    <col min="13572" max="13572" width="18" style="107" customWidth="1"/>
    <col min="13573" max="13573" width="19.7109375" style="107" customWidth="1"/>
    <col min="13574" max="13574" width="16.140625" style="107" customWidth="1"/>
    <col min="13575" max="13575" width="16.42578125" style="107" customWidth="1"/>
    <col min="13576" max="13576" width="12.140625" style="107" customWidth="1"/>
    <col min="13577" max="13577" width="13.140625" style="107" customWidth="1"/>
    <col min="13578" max="13578" width="13.7109375" style="107" customWidth="1"/>
    <col min="13579" max="13579" width="18.28515625" style="107" customWidth="1"/>
    <col min="13580" max="13824" width="9.140625" style="107"/>
    <col min="13825" max="13825" width="22.85546875" style="107" customWidth="1"/>
    <col min="13826" max="13826" width="19.140625" style="107" customWidth="1"/>
    <col min="13827" max="13827" width="20" style="107" customWidth="1"/>
    <col min="13828" max="13828" width="18" style="107" customWidth="1"/>
    <col min="13829" max="13829" width="19.7109375" style="107" customWidth="1"/>
    <col min="13830" max="13830" width="16.140625" style="107" customWidth="1"/>
    <col min="13831" max="13831" width="16.42578125" style="107" customWidth="1"/>
    <col min="13832" max="13832" width="12.140625" style="107" customWidth="1"/>
    <col min="13833" max="13833" width="13.140625" style="107" customWidth="1"/>
    <col min="13834" max="13834" width="13.7109375" style="107" customWidth="1"/>
    <col min="13835" max="13835" width="18.28515625" style="107" customWidth="1"/>
    <col min="13836" max="14080" width="9.140625" style="107"/>
    <col min="14081" max="14081" width="22.85546875" style="107" customWidth="1"/>
    <col min="14082" max="14082" width="19.140625" style="107" customWidth="1"/>
    <col min="14083" max="14083" width="20" style="107" customWidth="1"/>
    <col min="14084" max="14084" width="18" style="107" customWidth="1"/>
    <col min="14085" max="14085" width="19.7109375" style="107" customWidth="1"/>
    <col min="14086" max="14086" width="16.140625" style="107" customWidth="1"/>
    <col min="14087" max="14087" width="16.42578125" style="107" customWidth="1"/>
    <col min="14088" max="14088" width="12.140625" style="107" customWidth="1"/>
    <col min="14089" max="14089" width="13.140625" style="107" customWidth="1"/>
    <col min="14090" max="14090" width="13.7109375" style="107" customWidth="1"/>
    <col min="14091" max="14091" width="18.28515625" style="107" customWidth="1"/>
    <col min="14092" max="14336" width="9.140625" style="107"/>
    <col min="14337" max="14337" width="22.85546875" style="107" customWidth="1"/>
    <col min="14338" max="14338" width="19.140625" style="107" customWidth="1"/>
    <col min="14339" max="14339" width="20" style="107" customWidth="1"/>
    <col min="14340" max="14340" width="18" style="107" customWidth="1"/>
    <col min="14341" max="14341" width="19.7109375" style="107" customWidth="1"/>
    <col min="14342" max="14342" width="16.140625" style="107" customWidth="1"/>
    <col min="14343" max="14343" width="16.42578125" style="107" customWidth="1"/>
    <col min="14344" max="14344" width="12.140625" style="107" customWidth="1"/>
    <col min="14345" max="14345" width="13.140625" style="107" customWidth="1"/>
    <col min="14346" max="14346" width="13.7109375" style="107" customWidth="1"/>
    <col min="14347" max="14347" width="18.28515625" style="107" customWidth="1"/>
    <col min="14348" max="14592" width="9.140625" style="107"/>
    <col min="14593" max="14593" width="22.85546875" style="107" customWidth="1"/>
    <col min="14594" max="14594" width="19.140625" style="107" customWidth="1"/>
    <col min="14595" max="14595" width="20" style="107" customWidth="1"/>
    <col min="14596" max="14596" width="18" style="107" customWidth="1"/>
    <col min="14597" max="14597" width="19.7109375" style="107" customWidth="1"/>
    <col min="14598" max="14598" width="16.140625" style="107" customWidth="1"/>
    <col min="14599" max="14599" width="16.42578125" style="107" customWidth="1"/>
    <col min="14600" max="14600" width="12.140625" style="107" customWidth="1"/>
    <col min="14601" max="14601" width="13.140625" style="107" customWidth="1"/>
    <col min="14602" max="14602" width="13.7109375" style="107" customWidth="1"/>
    <col min="14603" max="14603" width="18.28515625" style="107" customWidth="1"/>
    <col min="14604" max="14848" width="9.140625" style="107"/>
    <col min="14849" max="14849" width="22.85546875" style="107" customWidth="1"/>
    <col min="14850" max="14850" width="19.140625" style="107" customWidth="1"/>
    <col min="14851" max="14851" width="20" style="107" customWidth="1"/>
    <col min="14852" max="14852" width="18" style="107" customWidth="1"/>
    <col min="14853" max="14853" width="19.7109375" style="107" customWidth="1"/>
    <col min="14854" max="14854" width="16.140625" style="107" customWidth="1"/>
    <col min="14855" max="14855" width="16.42578125" style="107" customWidth="1"/>
    <col min="14856" max="14856" width="12.140625" style="107" customWidth="1"/>
    <col min="14857" max="14857" width="13.140625" style="107" customWidth="1"/>
    <col min="14858" max="14858" width="13.7109375" style="107" customWidth="1"/>
    <col min="14859" max="14859" width="18.28515625" style="107" customWidth="1"/>
    <col min="14860" max="15104" width="9.140625" style="107"/>
    <col min="15105" max="15105" width="22.85546875" style="107" customWidth="1"/>
    <col min="15106" max="15106" width="19.140625" style="107" customWidth="1"/>
    <col min="15107" max="15107" width="20" style="107" customWidth="1"/>
    <col min="15108" max="15108" width="18" style="107" customWidth="1"/>
    <col min="15109" max="15109" width="19.7109375" style="107" customWidth="1"/>
    <col min="15110" max="15110" width="16.140625" style="107" customWidth="1"/>
    <col min="15111" max="15111" width="16.42578125" style="107" customWidth="1"/>
    <col min="15112" max="15112" width="12.140625" style="107" customWidth="1"/>
    <col min="15113" max="15113" width="13.140625" style="107" customWidth="1"/>
    <col min="15114" max="15114" width="13.7109375" style="107" customWidth="1"/>
    <col min="15115" max="15115" width="18.28515625" style="107" customWidth="1"/>
    <col min="15116" max="15360" width="9.140625" style="107"/>
    <col min="15361" max="15361" width="22.85546875" style="107" customWidth="1"/>
    <col min="15362" max="15362" width="19.140625" style="107" customWidth="1"/>
    <col min="15363" max="15363" width="20" style="107" customWidth="1"/>
    <col min="15364" max="15364" width="18" style="107" customWidth="1"/>
    <col min="15365" max="15365" width="19.7109375" style="107" customWidth="1"/>
    <col min="15366" max="15366" width="16.140625" style="107" customWidth="1"/>
    <col min="15367" max="15367" width="16.42578125" style="107" customWidth="1"/>
    <col min="15368" max="15368" width="12.140625" style="107" customWidth="1"/>
    <col min="15369" max="15369" width="13.140625" style="107" customWidth="1"/>
    <col min="15370" max="15370" width="13.7109375" style="107" customWidth="1"/>
    <col min="15371" max="15371" width="18.28515625" style="107" customWidth="1"/>
    <col min="15372" max="15616" width="9.140625" style="107"/>
    <col min="15617" max="15617" width="22.85546875" style="107" customWidth="1"/>
    <col min="15618" max="15618" width="19.140625" style="107" customWidth="1"/>
    <col min="15619" max="15619" width="20" style="107" customWidth="1"/>
    <col min="15620" max="15620" width="18" style="107" customWidth="1"/>
    <col min="15621" max="15621" width="19.7109375" style="107" customWidth="1"/>
    <col min="15622" max="15622" width="16.140625" style="107" customWidth="1"/>
    <col min="15623" max="15623" width="16.42578125" style="107" customWidth="1"/>
    <col min="15624" max="15624" width="12.140625" style="107" customWidth="1"/>
    <col min="15625" max="15625" width="13.140625" style="107" customWidth="1"/>
    <col min="15626" max="15626" width="13.7109375" style="107" customWidth="1"/>
    <col min="15627" max="15627" width="18.28515625" style="107" customWidth="1"/>
    <col min="15628" max="15872" width="9.140625" style="107"/>
    <col min="15873" max="15873" width="22.85546875" style="107" customWidth="1"/>
    <col min="15874" max="15874" width="19.140625" style="107" customWidth="1"/>
    <col min="15875" max="15875" width="20" style="107" customWidth="1"/>
    <col min="15876" max="15876" width="18" style="107" customWidth="1"/>
    <col min="15877" max="15877" width="19.7109375" style="107" customWidth="1"/>
    <col min="15878" max="15878" width="16.140625" style="107" customWidth="1"/>
    <col min="15879" max="15879" width="16.42578125" style="107" customWidth="1"/>
    <col min="15880" max="15880" width="12.140625" style="107" customWidth="1"/>
    <col min="15881" max="15881" width="13.140625" style="107" customWidth="1"/>
    <col min="15882" max="15882" width="13.7109375" style="107" customWidth="1"/>
    <col min="15883" max="15883" width="18.28515625" style="107" customWidth="1"/>
    <col min="15884" max="16128" width="9.140625" style="107"/>
    <col min="16129" max="16129" width="22.85546875" style="107" customWidth="1"/>
    <col min="16130" max="16130" width="19.140625" style="107" customWidth="1"/>
    <col min="16131" max="16131" width="20" style="107" customWidth="1"/>
    <col min="16132" max="16132" width="18" style="107" customWidth="1"/>
    <col min="16133" max="16133" width="19.7109375" style="107" customWidth="1"/>
    <col min="16134" max="16134" width="16.140625" style="107" customWidth="1"/>
    <col min="16135" max="16135" width="16.42578125" style="107" customWidth="1"/>
    <col min="16136" max="16136" width="12.140625" style="107" customWidth="1"/>
    <col min="16137" max="16137" width="13.140625" style="107" customWidth="1"/>
    <col min="16138" max="16138" width="13.7109375" style="107" customWidth="1"/>
    <col min="16139" max="16139" width="18.28515625" style="107" customWidth="1"/>
    <col min="16140" max="16384" width="9.140625" style="107"/>
  </cols>
  <sheetData>
    <row r="2" spans="1:9" s="105" customFormat="1" x14ac:dyDescent="0.2">
      <c r="A2" s="102"/>
      <c r="B2" s="103"/>
      <c r="C2" s="103"/>
      <c r="D2" s="104"/>
      <c r="E2" s="104"/>
    </row>
    <row r="3" spans="1:9" ht="15" customHeight="1" x14ac:dyDescent="0.2">
      <c r="A3" s="106" t="s">
        <v>163</v>
      </c>
      <c r="B3" s="106"/>
      <c r="C3" s="106"/>
      <c r="D3" s="106"/>
      <c r="E3" s="106"/>
      <c r="F3" s="106"/>
      <c r="G3" s="106"/>
      <c r="H3" s="106"/>
      <c r="I3" s="106"/>
    </row>
    <row r="4" spans="1:9" ht="13.5" thickBot="1" x14ac:dyDescent="0.25">
      <c r="A4" s="108"/>
      <c r="B4" s="109"/>
      <c r="C4" s="109"/>
      <c r="D4" s="109"/>
      <c r="E4" s="109"/>
      <c r="F4" s="109"/>
      <c r="G4" s="109"/>
      <c r="H4" s="108"/>
      <c r="I4" s="108"/>
    </row>
    <row r="5" spans="1:9" ht="15" customHeight="1" thickBot="1" x14ac:dyDescent="0.25">
      <c r="A5" s="110"/>
      <c r="B5" s="111" t="s">
        <v>164</v>
      </c>
      <c r="C5" s="112"/>
      <c r="D5" s="112"/>
      <c r="E5" s="112"/>
      <c r="F5" s="112"/>
      <c r="G5" s="113"/>
      <c r="H5" s="114"/>
      <c r="I5" s="114"/>
    </row>
    <row r="6" spans="1:9" x14ac:dyDescent="0.25">
      <c r="A6" s="115" t="s">
        <v>165</v>
      </c>
      <c r="B6" s="116" t="s">
        <v>166</v>
      </c>
      <c r="C6" s="117" t="s">
        <v>167</v>
      </c>
      <c r="D6" s="116" t="s">
        <v>168</v>
      </c>
      <c r="E6" s="118" t="s">
        <v>169</v>
      </c>
      <c r="F6" s="119" t="s">
        <v>170</v>
      </c>
      <c r="G6" s="119" t="s">
        <v>171</v>
      </c>
      <c r="H6" s="119" t="s">
        <v>172</v>
      </c>
      <c r="I6" s="120" t="s">
        <v>173</v>
      </c>
    </row>
    <row r="7" spans="1:9" ht="81.75" customHeight="1" x14ac:dyDescent="0.25">
      <c r="A7" s="121"/>
      <c r="B7" s="122"/>
      <c r="C7" s="123"/>
      <c r="D7" s="122"/>
      <c r="E7" s="124"/>
      <c r="F7" s="125"/>
      <c r="G7" s="125"/>
      <c r="H7" s="125"/>
      <c r="I7" s="126"/>
    </row>
    <row r="8" spans="1:9" s="131" customFormat="1" ht="12.75" customHeight="1" x14ac:dyDescent="0.2">
      <c r="A8" s="127" t="s">
        <v>174</v>
      </c>
      <c r="B8" s="128"/>
      <c r="C8" s="128"/>
      <c r="D8" s="128"/>
      <c r="E8" s="129"/>
      <c r="F8" s="129"/>
      <c r="G8" s="129"/>
      <c r="H8" s="129"/>
      <c r="I8" s="130"/>
    </row>
    <row r="9" spans="1:9" s="131" customFormat="1" x14ac:dyDescent="0.2">
      <c r="A9" s="132" t="s">
        <v>7</v>
      </c>
      <c r="B9" s="133">
        <f>'[1]Nota II.1.1.a'!B41</f>
        <v>8502608896.2700005</v>
      </c>
      <c r="C9" s="133">
        <f>'[1]Nota II.1.1.a'!C41</f>
        <v>199732285.34</v>
      </c>
      <c r="D9" s="133">
        <f>'[1]Nota II.1.1.a'!D41</f>
        <v>4073263850.54</v>
      </c>
      <c r="E9" s="133">
        <f>'[1]Nota II.1.1.a'!E41</f>
        <v>257488999.28</v>
      </c>
      <c r="F9" s="133">
        <f>'[1]Nota II.1.1.a'!F41</f>
        <v>6448741.8099999996</v>
      </c>
      <c r="G9" s="133">
        <f>'[1]Nota II.1.1.a'!G41</f>
        <v>236671753.30000001</v>
      </c>
      <c r="H9" s="133">
        <f>'[1]Nota II.1.1.a'!H41</f>
        <v>1478675051.73</v>
      </c>
      <c r="I9" s="134">
        <f>B9+SUM(D9:H9)</f>
        <v>14555157292.93</v>
      </c>
    </row>
    <row r="10" spans="1:9" x14ac:dyDescent="0.2">
      <c r="A10" s="132" t="s">
        <v>175</v>
      </c>
      <c r="B10" s="133">
        <f t="shared" ref="B10:I10" si="0">SUM(B11:B13)</f>
        <v>676140664.63999999</v>
      </c>
      <c r="C10" s="133">
        <f t="shared" si="0"/>
        <v>8952859.6600000001</v>
      </c>
      <c r="D10" s="133">
        <f t="shared" si="0"/>
        <v>188285787.63</v>
      </c>
      <c r="E10" s="133">
        <f t="shared" si="0"/>
        <v>14573607.57</v>
      </c>
      <c r="F10" s="133">
        <f t="shared" si="0"/>
        <v>131582.29</v>
      </c>
      <c r="G10" s="133">
        <f t="shared" si="0"/>
        <v>11928877.950000001</v>
      </c>
      <c r="H10" s="133">
        <f t="shared" si="0"/>
        <v>332469493.86000001</v>
      </c>
      <c r="I10" s="134">
        <f t="shared" si="0"/>
        <v>1223530013.9400001</v>
      </c>
    </row>
    <row r="11" spans="1:9" x14ac:dyDescent="0.2">
      <c r="A11" s="135" t="s">
        <v>176</v>
      </c>
      <c r="B11" s="136">
        <f>'[1]Nota II.1.1.a'!B43</f>
        <v>309722397.94</v>
      </c>
      <c r="C11" s="136">
        <f>'[1]Nota II.1.1.a'!C43</f>
        <v>2709942.42</v>
      </c>
      <c r="D11" s="136">
        <f>'[1]Nota II.1.1.a'!D43</f>
        <v>29631043.329999998</v>
      </c>
      <c r="E11" s="136">
        <f>'[1]Nota II.1.1.a'!E43</f>
        <v>872583.7</v>
      </c>
      <c r="F11" s="136">
        <f>'[1]Nota II.1.1.a'!F43</f>
        <v>1168.29</v>
      </c>
      <c r="G11" s="136">
        <f>'[1]Nota II.1.1.a'!G43</f>
        <v>13097070.800000001</v>
      </c>
      <c r="H11" s="136">
        <f>'[1]Nota II.1.1.a'!H43</f>
        <v>207937271</v>
      </c>
      <c r="I11" s="137">
        <f>B11+SUM(D11:H11)</f>
        <v>561261535.05999994</v>
      </c>
    </row>
    <row r="12" spans="1:9" x14ac:dyDescent="0.2">
      <c r="A12" s="135" t="s">
        <v>177</v>
      </c>
      <c r="B12" s="136">
        <f>'[1]Nota II.1.1.a'!B44</f>
        <v>358468348.85000002</v>
      </c>
      <c r="C12" s="136">
        <f>'[1]Nota II.1.1.a'!C44</f>
        <v>6242917.2400000002</v>
      </c>
      <c r="D12" s="136">
        <f>'[1]Nota II.1.1.a'!D44</f>
        <v>100271849.90000001</v>
      </c>
      <c r="E12" s="136">
        <f>'[1]Nota II.1.1.a'!E44</f>
        <v>829612.51</v>
      </c>
      <c r="F12" s="136">
        <f>'[1]Nota II.1.1.a'!F44</f>
        <v>130414</v>
      </c>
      <c r="G12" s="136">
        <f>'[1]Nota II.1.1.a'!G44</f>
        <v>3268642.24</v>
      </c>
      <c r="H12" s="136">
        <f>'[1]Nota II.1.1.a'!H44</f>
        <v>199299611.38</v>
      </c>
      <c r="I12" s="137">
        <f t="shared" ref="I12:I16" si="1">B12+SUM(D12:H12)</f>
        <v>662268478.88</v>
      </c>
    </row>
    <row r="13" spans="1:9" x14ac:dyDescent="0.2">
      <c r="A13" s="135" t="s">
        <v>178</v>
      </c>
      <c r="B13" s="136">
        <f>'[1]Nota II.1.1.a'!B45</f>
        <v>7949917.8499999996</v>
      </c>
      <c r="C13" s="136">
        <f>'[1]Nota II.1.1.a'!C45</f>
        <v>0</v>
      </c>
      <c r="D13" s="136">
        <f>'[1]Nota II.1.1.a'!D45</f>
        <v>58382894.399999999</v>
      </c>
      <c r="E13" s="136">
        <f>'[1]Nota II.1.1.a'!E45</f>
        <v>12871411.359999999</v>
      </c>
      <c r="F13" s="136">
        <f>'[1]Nota II.1.1.a'!F45</f>
        <v>0</v>
      </c>
      <c r="G13" s="136">
        <f>'[1]Nota II.1.1.a'!G45</f>
        <v>-4436835.09</v>
      </c>
      <c r="H13" s="136">
        <f>'[1]Nota II.1.1.a'!H45</f>
        <v>-74767388.519999996</v>
      </c>
      <c r="I13" s="137">
        <f t="shared" si="1"/>
        <v>-9.3132257461547852E-9</v>
      </c>
    </row>
    <row r="14" spans="1:9" x14ac:dyDescent="0.2">
      <c r="A14" s="132" t="s">
        <v>179</v>
      </c>
      <c r="B14" s="133">
        <f>SUM(B15:B16)</f>
        <v>236443756.77999997</v>
      </c>
      <c r="C14" s="133">
        <f t="shared" ref="C14:I14" si="2">SUM(C15:C16)</f>
        <v>15914310.709999999</v>
      </c>
      <c r="D14" s="133">
        <f t="shared" si="2"/>
        <v>57815852.689999998</v>
      </c>
      <c r="E14" s="133">
        <f t="shared" si="2"/>
        <v>25915919.699999999</v>
      </c>
      <c r="F14" s="133">
        <f t="shared" si="2"/>
        <v>361638.78</v>
      </c>
      <c r="G14" s="133">
        <f t="shared" si="2"/>
        <v>10879350.59</v>
      </c>
      <c r="H14" s="133">
        <f t="shared" si="2"/>
        <v>410595781.56999999</v>
      </c>
      <c r="I14" s="134">
        <f t="shared" si="2"/>
        <v>742012300.11000001</v>
      </c>
    </row>
    <row r="15" spans="1:9" x14ac:dyDescent="0.2">
      <c r="A15" s="135" t="s">
        <v>180</v>
      </c>
      <c r="B15" s="136">
        <f>'[1]Nota II.1.1.a'!B47</f>
        <v>12656446.640000001</v>
      </c>
      <c r="C15" s="136">
        <f>'[1]Nota II.1.1.a'!C47</f>
        <v>34075.26</v>
      </c>
      <c r="D15" s="136">
        <f>'[1]Nota II.1.1.a'!D47</f>
        <v>11675009.720000001</v>
      </c>
      <c r="E15" s="136">
        <f>'[1]Nota II.1.1.a'!E47</f>
        <v>16067191.68</v>
      </c>
      <c r="F15" s="136">
        <f>'[1]Nota II.1.1.a'!F47</f>
        <v>239828.78</v>
      </c>
      <c r="G15" s="136">
        <f>'[1]Nota II.1.1.a'!G47</f>
        <v>5271623.5999999996</v>
      </c>
      <c r="H15" s="136">
        <f>'[1]Nota II.1.1.a'!H47</f>
        <v>0</v>
      </c>
      <c r="I15" s="137">
        <f t="shared" si="1"/>
        <v>45910100.420000002</v>
      </c>
    </row>
    <row r="16" spans="1:9" x14ac:dyDescent="0.2">
      <c r="A16" s="135" t="s">
        <v>177</v>
      </c>
      <c r="B16" s="136">
        <f>'[1]Nota II.1.1.a'!B48</f>
        <v>223787310.13999999</v>
      </c>
      <c r="C16" s="136">
        <f>'[1]Nota II.1.1.a'!C48</f>
        <v>15880235.449999999</v>
      </c>
      <c r="D16" s="136">
        <f>'[1]Nota II.1.1.a'!D48</f>
        <v>46140842.969999999</v>
      </c>
      <c r="E16" s="136">
        <f>'[1]Nota II.1.1.a'!E48</f>
        <v>9848728.0199999996</v>
      </c>
      <c r="F16" s="136">
        <f>'[1]Nota II.1.1.a'!F48</f>
        <v>121810</v>
      </c>
      <c r="G16" s="136">
        <f>'[1]Nota II.1.1.a'!G48</f>
        <v>5607726.9900000002</v>
      </c>
      <c r="H16" s="136">
        <f>'[1]Nota II.1.1.a'!H48</f>
        <v>410595781.56999999</v>
      </c>
      <c r="I16" s="137">
        <f t="shared" si="1"/>
        <v>696102199.69000006</v>
      </c>
    </row>
    <row r="17" spans="1:9" x14ac:dyDescent="0.2">
      <c r="A17" s="132" t="s">
        <v>8</v>
      </c>
      <c r="B17" s="133">
        <f t="shared" ref="B17:I17" si="3">B9+B10-B14</f>
        <v>8942305804.1299992</v>
      </c>
      <c r="C17" s="133">
        <f t="shared" si="3"/>
        <v>192770834.28999999</v>
      </c>
      <c r="D17" s="133">
        <f t="shared" si="3"/>
        <v>4203733785.48</v>
      </c>
      <c r="E17" s="133">
        <f t="shared" si="3"/>
        <v>246146687.15000004</v>
      </c>
      <c r="F17" s="133">
        <f t="shared" si="3"/>
        <v>6218685.3199999994</v>
      </c>
      <c r="G17" s="133">
        <f t="shared" si="3"/>
        <v>237721280.66</v>
      </c>
      <c r="H17" s="133">
        <f t="shared" si="3"/>
        <v>1400548764.0200002</v>
      </c>
      <c r="I17" s="134">
        <f t="shared" si="3"/>
        <v>15036675006.76</v>
      </c>
    </row>
    <row r="18" spans="1:9" x14ac:dyDescent="0.2">
      <c r="A18" s="127" t="s">
        <v>181</v>
      </c>
      <c r="B18" s="129"/>
      <c r="C18" s="129"/>
      <c r="D18" s="129"/>
      <c r="E18" s="129"/>
      <c r="F18" s="129"/>
      <c r="G18" s="129"/>
      <c r="H18" s="129"/>
      <c r="I18" s="130"/>
    </row>
    <row r="19" spans="1:9" x14ac:dyDescent="0.2">
      <c r="A19" s="132" t="s">
        <v>7</v>
      </c>
      <c r="B19" s="133">
        <f>'[1]Nota II.1.1.a'!B51</f>
        <v>49783746.93</v>
      </c>
      <c r="C19" s="133">
        <f>'[1]Nota II.1.1.a'!C51</f>
        <v>0</v>
      </c>
      <c r="D19" s="133">
        <f>'[1]Nota II.1.1.a'!D51</f>
        <v>1826487691.4300001</v>
      </c>
      <c r="E19" s="133">
        <f>'[1]Nota II.1.1.a'!E51</f>
        <v>214087163.34999999</v>
      </c>
      <c r="F19" s="133">
        <f>'[1]Nota II.1.1.a'!F51</f>
        <v>5757106.1600000001</v>
      </c>
      <c r="G19" s="133">
        <f>'[1]Nota II.1.1.a'!G51</f>
        <v>195315919.00999999</v>
      </c>
      <c r="H19" s="133">
        <f>'[1]Nota II.1.1.a'!H51</f>
        <v>0</v>
      </c>
      <c r="I19" s="134">
        <f>B19+SUM(D19:H19)</f>
        <v>2291431626.8799996</v>
      </c>
    </row>
    <row r="20" spans="1:9" x14ac:dyDescent="0.2">
      <c r="A20" s="132" t="s">
        <v>175</v>
      </c>
      <c r="B20" s="133">
        <f>SUM(B21:B23)</f>
        <v>4805486.08</v>
      </c>
      <c r="C20" s="133">
        <f t="shared" ref="C20:I20" si="4">SUM(C21:C23)</f>
        <v>0</v>
      </c>
      <c r="D20" s="133">
        <f t="shared" si="4"/>
        <v>163525207.50999999</v>
      </c>
      <c r="E20" s="133">
        <f t="shared" si="4"/>
        <v>17068483.190000001</v>
      </c>
      <c r="F20" s="133">
        <f t="shared" si="4"/>
        <v>335686.75</v>
      </c>
      <c r="G20" s="133">
        <f t="shared" si="4"/>
        <v>20648970.460000001</v>
      </c>
      <c r="H20" s="133">
        <f t="shared" si="4"/>
        <v>0</v>
      </c>
      <c r="I20" s="134">
        <f t="shared" si="4"/>
        <v>206383833.99000001</v>
      </c>
    </row>
    <row r="21" spans="1:9" x14ac:dyDescent="0.2">
      <c r="A21" s="135" t="s">
        <v>182</v>
      </c>
      <c r="B21" s="136">
        <f>'[1]Nota II.1.1.a'!B53</f>
        <v>4805486.08</v>
      </c>
      <c r="C21" s="136">
        <f>'[1]Nota II.1.1.a'!C53</f>
        <v>0</v>
      </c>
      <c r="D21" s="136">
        <f>'[1]Nota II.1.1.a'!D53</f>
        <v>132297599.45</v>
      </c>
      <c r="E21" s="136">
        <f>'[1]Nota II.1.1.a'!E53</f>
        <v>15963870.34</v>
      </c>
      <c r="F21" s="136">
        <f>'[1]Nota II.1.1.a'!F53</f>
        <v>205272.75</v>
      </c>
      <c r="G21" s="136">
        <f>'[1]Nota II.1.1.a'!G53</f>
        <v>5449834.9400000004</v>
      </c>
      <c r="H21" s="136">
        <f>'[1]Nota II.1.1.a'!H53</f>
        <v>0</v>
      </c>
      <c r="I21" s="137">
        <f t="shared" ref="I21:I23" si="5">B21+SUM(D21:H21)</f>
        <v>158722063.56</v>
      </c>
    </row>
    <row r="22" spans="1:9" x14ac:dyDescent="0.2">
      <c r="A22" s="135" t="s">
        <v>177</v>
      </c>
      <c r="B22" s="136">
        <f>'[1]Nota II.1.1.a'!B54</f>
        <v>0</v>
      </c>
      <c r="C22" s="136">
        <f>'[1]Nota II.1.1.a'!C54</f>
        <v>0</v>
      </c>
      <c r="D22" s="136">
        <f>'[1]Nota II.1.1.a'!D54</f>
        <v>31227608.059999999</v>
      </c>
      <c r="E22" s="136">
        <f>'[1]Nota II.1.1.a'!E54</f>
        <v>1104612.8500000001</v>
      </c>
      <c r="F22" s="136">
        <f>'[1]Nota II.1.1.a'!F54</f>
        <v>130414</v>
      </c>
      <c r="G22" s="136">
        <f>'[1]Nota II.1.1.a'!G54</f>
        <v>15199135.52</v>
      </c>
      <c r="H22" s="136">
        <f>'[1]Nota II.1.1.a'!H54</f>
        <v>0</v>
      </c>
      <c r="I22" s="137">
        <f t="shared" si="5"/>
        <v>47661770.43</v>
      </c>
    </row>
    <row r="23" spans="1:9" x14ac:dyDescent="0.2">
      <c r="A23" s="135" t="s">
        <v>178</v>
      </c>
      <c r="B23" s="136">
        <f>'[1]Nota II.1.1.a'!B55</f>
        <v>0</v>
      </c>
      <c r="C23" s="136">
        <f>'[1]Nota II.1.1.a'!C55</f>
        <v>0</v>
      </c>
      <c r="D23" s="136">
        <f>'[1]Nota II.1.1.a'!D55</f>
        <v>0</v>
      </c>
      <c r="E23" s="136">
        <f>'[1]Nota II.1.1.a'!E55</f>
        <v>0</v>
      </c>
      <c r="F23" s="136">
        <f>'[1]Nota II.1.1.a'!F55</f>
        <v>0</v>
      </c>
      <c r="G23" s="136">
        <f>'[1]Nota II.1.1.a'!G55</f>
        <v>0</v>
      </c>
      <c r="H23" s="136">
        <f>'[1]Nota II.1.1.a'!H55</f>
        <v>0</v>
      </c>
      <c r="I23" s="137">
        <f t="shared" si="5"/>
        <v>0</v>
      </c>
    </row>
    <row r="24" spans="1:9" x14ac:dyDescent="0.2">
      <c r="A24" s="132" t="s">
        <v>179</v>
      </c>
      <c r="B24" s="133">
        <f>SUM(B25:B26)</f>
        <v>1909160.48</v>
      </c>
      <c r="C24" s="133">
        <f t="shared" ref="C24:I24" si="6">SUM(C25:C26)</f>
        <v>0</v>
      </c>
      <c r="D24" s="133">
        <f t="shared" si="6"/>
        <v>15767129.530000001</v>
      </c>
      <c r="E24" s="133">
        <f t="shared" si="6"/>
        <v>24977745.460000001</v>
      </c>
      <c r="F24" s="133">
        <f t="shared" si="6"/>
        <v>361638.78</v>
      </c>
      <c r="G24" s="133">
        <f t="shared" si="6"/>
        <v>10973072.600000001</v>
      </c>
      <c r="H24" s="133">
        <f t="shared" si="6"/>
        <v>0</v>
      </c>
      <c r="I24" s="134">
        <f t="shared" si="6"/>
        <v>53988746.849999994</v>
      </c>
    </row>
    <row r="25" spans="1:9" x14ac:dyDescent="0.2">
      <c r="A25" s="135" t="s">
        <v>180</v>
      </c>
      <c r="B25" s="136">
        <f>'[1]Nota II.1.1.a'!B57</f>
        <v>0</v>
      </c>
      <c r="C25" s="136">
        <f>'[1]Nota II.1.1.a'!C57</f>
        <v>0</v>
      </c>
      <c r="D25" s="136">
        <f>'[1]Nota II.1.1.a'!D57</f>
        <v>3101845.39</v>
      </c>
      <c r="E25" s="136">
        <f>'[1]Nota II.1.1.a'!E57</f>
        <v>23561660.93</v>
      </c>
      <c r="F25" s="136">
        <f>'[1]Nota II.1.1.a'!F57</f>
        <v>239828.78</v>
      </c>
      <c r="G25" s="136">
        <f>'[1]Nota II.1.1.a'!G57</f>
        <v>6737858.6900000004</v>
      </c>
      <c r="H25" s="136">
        <f>'[1]Nota II.1.1.a'!H57</f>
        <v>0</v>
      </c>
      <c r="I25" s="137">
        <f t="shared" ref="I25:I26" si="7">B25+SUM(D25:H25)</f>
        <v>33641193.789999999</v>
      </c>
    </row>
    <row r="26" spans="1:9" x14ac:dyDescent="0.2">
      <c r="A26" s="135" t="s">
        <v>177</v>
      </c>
      <c r="B26" s="136">
        <f>'[1]Nota II.1.1.a'!B58</f>
        <v>1909160.48</v>
      </c>
      <c r="C26" s="136">
        <f>'[1]Nota II.1.1.a'!C58</f>
        <v>0</v>
      </c>
      <c r="D26" s="136">
        <f>'[1]Nota II.1.1.a'!D58</f>
        <v>12665284.140000001</v>
      </c>
      <c r="E26" s="136">
        <f>'[1]Nota II.1.1.a'!E58</f>
        <v>1416084.53</v>
      </c>
      <c r="F26" s="136">
        <f>'[1]Nota II.1.1.a'!F58</f>
        <v>121810</v>
      </c>
      <c r="G26" s="136">
        <f>'[1]Nota II.1.1.a'!G58</f>
        <v>4235213.91</v>
      </c>
      <c r="H26" s="136">
        <f>'[1]Nota II.1.1.a'!H58</f>
        <v>0</v>
      </c>
      <c r="I26" s="137">
        <f t="shared" si="7"/>
        <v>20347553.059999999</v>
      </c>
    </row>
    <row r="27" spans="1:9" x14ac:dyDescent="0.2">
      <c r="A27" s="132" t="s">
        <v>8</v>
      </c>
      <c r="B27" s="133">
        <f>B19+B20-B24</f>
        <v>52680072.530000001</v>
      </c>
      <c r="C27" s="133">
        <f t="shared" ref="C27:I27" si="8">C19+C20-C24</f>
        <v>0</v>
      </c>
      <c r="D27" s="133">
        <f t="shared" si="8"/>
        <v>1974245769.4100001</v>
      </c>
      <c r="E27" s="133">
        <f t="shared" si="8"/>
        <v>206177901.07999998</v>
      </c>
      <c r="F27" s="133">
        <f t="shared" si="8"/>
        <v>5731154.1299999999</v>
      </c>
      <c r="G27" s="133">
        <f t="shared" si="8"/>
        <v>204991816.87</v>
      </c>
      <c r="H27" s="133">
        <f t="shared" si="8"/>
        <v>0</v>
      </c>
      <c r="I27" s="134">
        <f t="shared" si="8"/>
        <v>2443826714.02</v>
      </c>
    </row>
    <row r="28" spans="1:9" x14ac:dyDescent="0.2">
      <c r="A28" s="127" t="s">
        <v>183</v>
      </c>
      <c r="B28" s="129"/>
      <c r="C28" s="129"/>
      <c r="D28" s="129"/>
      <c r="E28" s="129"/>
      <c r="F28" s="129"/>
      <c r="G28" s="129"/>
      <c r="H28" s="129"/>
      <c r="I28" s="130"/>
    </row>
    <row r="29" spans="1:9" x14ac:dyDescent="0.2">
      <c r="A29" s="132" t="s">
        <v>7</v>
      </c>
      <c r="B29" s="133">
        <f>'[1]Nota II.1.1.a'!B61</f>
        <v>22764152.989999998</v>
      </c>
      <c r="C29" s="133">
        <f>'[1]Nota II.1.1.a'!C61</f>
        <v>22764152.989999998</v>
      </c>
      <c r="D29" s="133">
        <f>'[1]Nota II.1.1.a'!D61</f>
        <v>0</v>
      </c>
      <c r="E29" s="133">
        <f>'[1]Nota II.1.1.a'!E61</f>
        <v>0</v>
      </c>
      <c r="F29" s="133">
        <f>'[1]Nota II.1.1.a'!F61</f>
        <v>0</v>
      </c>
      <c r="G29" s="133">
        <f>'[1]Nota II.1.1.a'!G61</f>
        <v>0</v>
      </c>
      <c r="H29" s="133">
        <f>'[1]Nota II.1.1.a'!H61</f>
        <v>4489130.25</v>
      </c>
      <c r="I29" s="134">
        <f>B29+SUM(D29:H29)</f>
        <v>27253283.239999998</v>
      </c>
    </row>
    <row r="30" spans="1:9" x14ac:dyDescent="0.2">
      <c r="A30" s="135" t="s">
        <v>184</v>
      </c>
      <c r="B30" s="136">
        <f>'[1]Nota II.1.1.a'!B62</f>
        <v>195287.41</v>
      </c>
      <c r="C30" s="136">
        <f>'[1]Nota II.1.1.a'!C62</f>
        <v>195287.41</v>
      </c>
      <c r="D30" s="136">
        <f>'[1]Nota II.1.1.a'!D62</f>
        <v>0</v>
      </c>
      <c r="E30" s="136">
        <f>'[1]Nota II.1.1.a'!E62</f>
        <v>0</v>
      </c>
      <c r="F30" s="136">
        <f>'[1]Nota II.1.1.a'!F62</f>
        <v>0</v>
      </c>
      <c r="G30" s="136">
        <f>'[1]Nota II.1.1.a'!G62</f>
        <v>0</v>
      </c>
      <c r="H30" s="136">
        <f>'[1]Nota II.1.1.a'!H62</f>
        <v>0</v>
      </c>
      <c r="I30" s="137">
        <f t="shared" ref="I30:I31" si="9">B30+SUM(D30:H30)</f>
        <v>195287.41</v>
      </c>
    </row>
    <row r="31" spans="1:9" x14ac:dyDescent="0.2">
      <c r="A31" s="135" t="s">
        <v>185</v>
      </c>
      <c r="B31" s="136">
        <f>'[1]Nota II.1.1.a'!B63</f>
        <v>5420680.3899999997</v>
      </c>
      <c r="C31" s="136">
        <f>'[1]Nota II.1.1.a'!C63</f>
        <v>5420680.3899999997</v>
      </c>
      <c r="D31" s="136">
        <f>'[1]Nota II.1.1.a'!D63</f>
        <v>0</v>
      </c>
      <c r="E31" s="136">
        <f>'[1]Nota II.1.1.a'!E63</f>
        <v>0</v>
      </c>
      <c r="F31" s="136">
        <f>'[1]Nota II.1.1.a'!F63</f>
        <v>0</v>
      </c>
      <c r="G31" s="136">
        <f>'[1]Nota II.1.1.a'!G63</f>
        <v>0</v>
      </c>
      <c r="H31" s="136">
        <f>'[1]Nota II.1.1.a'!H63</f>
        <v>92496.77</v>
      </c>
      <c r="I31" s="137">
        <f t="shared" si="9"/>
        <v>5513177.1599999992</v>
      </c>
    </row>
    <row r="32" spans="1:9" x14ac:dyDescent="0.2">
      <c r="A32" s="132" t="s">
        <v>8</v>
      </c>
      <c r="B32" s="138">
        <f>B29+B30-B31</f>
        <v>17538760.009999998</v>
      </c>
      <c r="C32" s="138">
        <f t="shared" ref="C32:I32" si="10">C29+C30-C31</f>
        <v>17538760.009999998</v>
      </c>
      <c r="D32" s="138">
        <f t="shared" si="10"/>
        <v>0</v>
      </c>
      <c r="E32" s="138">
        <f t="shared" si="10"/>
        <v>0</v>
      </c>
      <c r="F32" s="138">
        <f t="shared" si="10"/>
        <v>0</v>
      </c>
      <c r="G32" s="138">
        <f t="shared" si="10"/>
        <v>0</v>
      </c>
      <c r="H32" s="138">
        <f t="shared" si="10"/>
        <v>4396633.4800000004</v>
      </c>
      <c r="I32" s="139">
        <f t="shared" si="10"/>
        <v>21935393.489999998</v>
      </c>
    </row>
    <row r="33" spans="1:9" x14ac:dyDescent="0.2">
      <c r="A33" s="127" t="s">
        <v>186</v>
      </c>
      <c r="B33" s="128"/>
      <c r="C33" s="128"/>
      <c r="D33" s="128"/>
      <c r="E33" s="128"/>
      <c r="F33" s="128"/>
      <c r="G33" s="128"/>
      <c r="H33" s="128"/>
      <c r="I33" s="130"/>
    </row>
    <row r="34" spans="1:9" x14ac:dyDescent="0.2">
      <c r="A34" s="140" t="s">
        <v>7</v>
      </c>
      <c r="B34" s="141">
        <f t="shared" ref="B34:I34" si="11">B9-B19-B29</f>
        <v>8430060996.3500004</v>
      </c>
      <c r="C34" s="141">
        <f t="shared" si="11"/>
        <v>176968132.34999999</v>
      </c>
      <c r="D34" s="141">
        <f t="shared" si="11"/>
        <v>2246776159.1099997</v>
      </c>
      <c r="E34" s="141">
        <f t="shared" si="11"/>
        <v>43401835.930000007</v>
      </c>
      <c r="F34" s="141">
        <f t="shared" si="11"/>
        <v>691635.64999999944</v>
      </c>
      <c r="G34" s="141">
        <f t="shared" si="11"/>
        <v>41355834.290000021</v>
      </c>
      <c r="H34" s="141">
        <f t="shared" si="11"/>
        <v>1474185921.48</v>
      </c>
      <c r="I34" s="142">
        <f t="shared" si="11"/>
        <v>12236472382.810001</v>
      </c>
    </row>
    <row r="35" spans="1:9" ht="13.5" thickBot="1" x14ac:dyDescent="0.25">
      <c r="A35" s="143" t="s">
        <v>187</v>
      </c>
      <c r="B35" s="144">
        <f>B17-B27-B32</f>
        <v>8872086971.5899982</v>
      </c>
      <c r="C35" s="144">
        <f t="shared" ref="C35:I35" si="12">C17-C27-C32</f>
        <v>175232074.28</v>
      </c>
      <c r="D35" s="144">
        <f t="shared" si="12"/>
        <v>2229488016.0699997</v>
      </c>
      <c r="E35" s="144">
        <f t="shared" si="12"/>
        <v>39968786.070000052</v>
      </c>
      <c r="F35" s="144">
        <f t="shared" si="12"/>
        <v>487531.18999999948</v>
      </c>
      <c r="G35" s="144">
        <f t="shared" si="12"/>
        <v>32729463.789999992</v>
      </c>
      <c r="H35" s="144">
        <f t="shared" si="12"/>
        <v>1396152130.5400002</v>
      </c>
      <c r="I35" s="145">
        <f t="shared" si="12"/>
        <v>12570912899.25</v>
      </c>
    </row>
    <row r="36" spans="1:9" x14ac:dyDescent="0.2">
      <c r="A36" s="146"/>
      <c r="B36" s="147"/>
      <c r="C36" s="147"/>
      <c r="D36" s="147"/>
      <c r="E36" s="147"/>
      <c r="F36" s="147"/>
      <c r="G36" s="147"/>
      <c r="H36" s="147"/>
      <c r="I36" s="147"/>
    </row>
    <row r="37" spans="1:9" x14ac:dyDescent="0.2">
      <c r="A37" s="146"/>
      <c r="B37" s="147"/>
      <c r="C37" s="147"/>
      <c r="D37" s="147"/>
      <c r="E37" s="147"/>
      <c r="F37" s="147"/>
      <c r="G37" s="147"/>
      <c r="H37" s="147"/>
      <c r="I37" s="147"/>
    </row>
    <row r="38" spans="1:9" x14ac:dyDescent="0.2">
      <c r="A38" s="146"/>
      <c r="B38" s="147"/>
      <c r="C38" s="147"/>
      <c r="D38" s="147"/>
      <c r="E38" s="147"/>
      <c r="F38" s="147"/>
      <c r="G38" s="147"/>
      <c r="H38" s="147"/>
      <c r="I38" s="147"/>
    </row>
    <row r="39" spans="1:9" x14ac:dyDescent="0.2">
      <c r="A39" s="148" t="s">
        <v>188</v>
      </c>
      <c r="B39" s="148"/>
    </row>
    <row r="40" spans="1:9" ht="13.5" thickBot="1" x14ac:dyDescent="0.25">
      <c r="A40" s="149"/>
      <c r="B40" s="149"/>
    </row>
    <row r="41" spans="1:9" ht="21.75" customHeight="1" x14ac:dyDescent="0.25">
      <c r="A41" s="150" t="s">
        <v>189</v>
      </c>
      <c r="B41" s="151"/>
      <c r="C41" s="152"/>
    </row>
    <row r="42" spans="1:9" ht="13.5" customHeight="1" x14ac:dyDescent="0.25">
      <c r="A42" s="153"/>
      <c r="B42" s="154"/>
      <c r="C42" s="155"/>
    </row>
    <row r="43" spans="1:9" ht="29.25" customHeight="1" x14ac:dyDescent="0.25">
      <c r="A43" s="156"/>
      <c r="B43" s="157"/>
      <c r="C43" s="158"/>
    </row>
    <row r="44" spans="1:9" x14ac:dyDescent="0.2">
      <c r="A44" s="159" t="s">
        <v>174</v>
      </c>
      <c r="B44" s="160"/>
      <c r="C44" s="161"/>
    </row>
    <row r="45" spans="1:9" x14ac:dyDescent="0.2">
      <c r="A45" s="162" t="s">
        <v>7</v>
      </c>
      <c r="B45" s="163"/>
      <c r="C45" s="139">
        <f>'[1]Nota II.1.b'!B37</f>
        <v>191478846.38</v>
      </c>
    </row>
    <row r="46" spans="1:9" x14ac:dyDescent="0.2">
      <c r="A46" s="164" t="s">
        <v>175</v>
      </c>
      <c r="B46" s="165"/>
      <c r="C46" s="166">
        <f>SUM(C47:C48)</f>
        <v>15845588.710000001</v>
      </c>
    </row>
    <row r="47" spans="1:9" x14ac:dyDescent="0.2">
      <c r="A47" s="167" t="s">
        <v>176</v>
      </c>
      <c r="B47" s="168"/>
      <c r="C47" s="169">
        <f>'[1]Nota II.1.b'!B39</f>
        <v>12969073.380000001</v>
      </c>
    </row>
    <row r="48" spans="1:9" x14ac:dyDescent="0.2">
      <c r="A48" s="167" t="s">
        <v>177</v>
      </c>
      <c r="B48" s="168"/>
      <c r="C48" s="169">
        <f>'[1]Nota II.1.b'!B40</f>
        <v>2876515.33</v>
      </c>
    </row>
    <row r="49" spans="1:3" x14ac:dyDescent="0.2">
      <c r="A49" s="164" t="s">
        <v>179</v>
      </c>
      <c r="B49" s="165"/>
      <c r="C49" s="166">
        <f>SUM(C50:C51)</f>
        <v>2332261.7999999998</v>
      </c>
    </row>
    <row r="50" spans="1:3" x14ac:dyDescent="0.2">
      <c r="A50" s="167" t="s">
        <v>180</v>
      </c>
      <c r="B50" s="168"/>
      <c r="C50" s="169">
        <f>'[1]Nota II.1.b'!B42</f>
        <v>924960.8</v>
      </c>
    </row>
    <row r="51" spans="1:3" x14ac:dyDescent="0.2">
      <c r="A51" s="167" t="s">
        <v>177</v>
      </c>
      <c r="B51" s="168"/>
      <c r="C51" s="169">
        <f>'[1]Nota II.1.b'!B43</f>
        <v>1407301</v>
      </c>
    </row>
    <row r="52" spans="1:3" x14ac:dyDescent="0.2">
      <c r="A52" s="164" t="s">
        <v>8</v>
      </c>
      <c r="B52" s="165"/>
      <c r="C52" s="166">
        <f>C45+C46-C49</f>
        <v>204992173.28999999</v>
      </c>
    </row>
    <row r="53" spans="1:3" x14ac:dyDescent="0.2">
      <c r="A53" s="159" t="s">
        <v>181</v>
      </c>
      <c r="B53" s="160"/>
      <c r="C53" s="161"/>
    </row>
    <row r="54" spans="1:3" x14ac:dyDescent="0.2">
      <c r="A54" s="162" t="s">
        <v>7</v>
      </c>
      <c r="B54" s="163"/>
      <c r="C54" s="139">
        <f>'[1]Nota II.1.b'!B46</f>
        <v>158535819.25</v>
      </c>
    </row>
    <row r="55" spans="1:3" x14ac:dyDescent="0.2">
      <c r="A55" s="164" t="s">
        <v>175</v>
      </c>
      <c r="B55" s="165"/>
      <c r="C55" s="166">
        <f>SUM(C56:C57)</f>
        <v>14275996.870000001</v>
      </c>
    </row>
    <row r="56" spans="1:3" x14ac:dyDescent="0.2">
      <c r="A56" s="167" t="s">
        <v>182</v>
      </c>
      <c r="B56" s="168"/>
      <c r="C56" s="169">
        <f>'[1]Nota II.1.b'!B48</f>
        <v>9919342.5500000007</v>
      </c>
    </row>
    <row r="57" spans="1:3" x14ac:dyDescent="0.2">
      <c r="A57" s="167" t="s">
        <v>177</v>
      </c>
      <c r="B57" s="168"/>
      <c r="C57" s="169">
        <f>'[1]Nota II.1.b'!B49</f>
        <v>4356654.32</v>
      </c>
    </row>
    <row r="58" spans="1:3" x14ac:dyDescent="0.2">
      <c r="A58" s="164" t="s">
        <v>179</v>
      </c>
      <c r="B58" s="165"/>
      <c r="C58" s="166">
        <f>SUM(C59:C60)</f>
        <v>2119510.63</v>
      </c>
    </row>
    <row r="59" spans="1:3" x14ac:dyDescent="0.2">
      <c r="A59" s="167" t="s">
        <v>180</v>
      </c>
      <c r="B59" s="168"/>
      <c r="C59" s="169">
        <f>'[1]Nota II.1.b'!B51</f>
        <v>924960.8</v>
      </c>
    </row>
    <row r="60" spans="1:3" x14ac:dyDescent="0.2">
      <c r="A60" s="170" t="s">
        <v>177</v>
      </c>
      <c r="B60" s="171"/>
      <c r="C60" s="169">
        <f>'[1]Nota II.1.b'!B52</f>
        <v>1194549.83</v>
      </c>
    </row>
    <row r="61" spans="1:3" x14ac:dyDescent="0.2">
      <c r="A61" s="172" t="s">
        <v>8</v>
      </c>
      <c r="B61" s="173"/>
      <c r="C61" s="174">
        <f>C54+C55-C58</f>
        <v>170692305.49000001</v>
      </c>
    </row>
    <row r="62" spans="1:3" x14ac:dyDescent="0.2">
      <c r="A62" s="175" t="s">
        <v>183</v>
      </c>
      <c r="B62" s="176"/>
      <c r="C62" s="161"/>
    </row>
    <row r="63" spans="1:3" x14ac:dyDescent="0.2">
      <c r="A63" s="162" t="s">
        <v>7</v>
      </c>
      <c r="B63" s="163"/>
      <c r="C63" s="139">
        <f>'[1]Nota II.1.b'!B23</f>
        <v>0</v>
      </c>
    </row>
    <row r="64" spans="1:3" x14ac:dyDescent="0.2">
      <c r="A64" s="177" t="s">
        <v>184</v>
      </c>
      <c r="B64" s="178"/>
      <c r="C64" s="169">
        <f>'[1]Nota II.1.b'!B56</f>
        <v>0</v>
      </c>
    </row>
    <row r="65" spans="1:5" x14ac:dyDescent="0.2">
      <c r="A65" s="177" t="s">
        <v>185</v>
      </c>
      <c r="B65" s="178"/>
      <c r="C65" s="169">
        <f>'[1]Nota II.1.b'!B57</f>
        <v>0</v>
      </c>
    </row>
    <row r="66" spans="1:5" x14ac:dyDescent="0.2">
      <c r="A66" s="162" t="s">
        <v>8</v>
      </c>
      <c r="B66" s="163"/>
      <c r="C66" s="139">
        <f>C63+C64-C65</f>
        <v>0</v>
      </c>
    </row>
    <row r="67" spans="1:5" x14ac:dyDescent="0.2">
      <c r="A67" s="159" t="s">
        <v>186</v>
      </c>
      <c r="B67" s="160"/>
      <c r="C67" s="161"/>
    </row>
    <row r="68" spans="1:5" x14ac:dyDescent="0.2">
      <c r="A68" s="179" t="s">
        <v>7</v>
      </c>
      <c r="B68" s="180"/>
      <c r="C68" s="181">
        <f>C45-C54-C63</f>
        <v>32943027.129999995</v>
      </c>
    </row>
    <row r="69" spans="1:5" ht="15.75" customHeight="1" thickBot="1" x14ac:dyDescent="0.25">
      <c r="A69" s="182" t="s">
        <v>187</v>
      </c>
      <c r="B69" s="183"/>
      <c r="C69" s="184">
        <f>C52-C61-C66</f>
        <v>34299867.799999982</v>
      </c>
    </row>
    <row r="76" spans="1:5" x14ac:dyDescent="0.2">
      <c r="A76" s="185" t="s">
        <v>190</v>
      </c>
      <c r="B76" s="186"/>
      <c r="C76" s="186"/>
      <c r="D76" s="186"/>
      <c r="E76" s="186"/>
    </row>
    <row r="77" spans="1:5" ht="13.5" thickBot="1" x14ac:dyDescent="0.3">
      <c r="A77" s="187"/>
      <c r="B77" s="188"/>
      <c r="C77" s="188"/>
      <c r="D77" s="188"/>
      <c r="E77" s="188"/>
    </row>
    <row r="78" spans="1:5" ht="180.75" customHeight="1" thickBot="1" x14ac:dyDescent="0.3">
      <c r="A78" s="189" t="s">
        <v>191</v>
      </c>
      <c r="B78" s="190" t="s">
        <v>192</v>
      </c>
      <c r="C78" s="190" t="s">
        <v>193</v>
      </c>
      <c r="D78" s="190" t="s">
        <v>194</v>
      </c>
      <c r="E78" s="191" t="s">
        <v>195</v>
      </c>
    </row>
    <row r="79" spans="1:5" x14ac:dyDescent="0.25">
      <c r="A79" s="192" t="s">
        <v>174</v>
      </c>
      <c r="B79" s="193"/>
      <c r="C79" s="193"/>
      <c r="D79" s="193"/>
      <c r="E79" s="194"/>
    </row>
    <row r="80" spans="1:5" ht="25.5" x14ac:dyDescent="0.25">
      <c r="A80" s="195" t="s">
        <v>196</v>
      </c>
      <c r="B80" s="196">
        <f>'[1]Nota II.1.1.c'!C38</f>
        <v>439856.6</v>
      </c>
      <c r="C80" s="196">
        <f>'[1]Nota II.1.1.c'!D38</f>
        <v>18770784.579999998</v>
      </c>
      <c r="D80" s="196">
        <f>'[1]Nota II.1.1.c'!E38</f>
        <v>0</v>
      </c>
      <c r="E80" s="197">
        <f>B80+C80+D80</f>
        <v>19210641.18</v>
      </c>
    </row>
    <row r="81" spans="1:5" x14ac:dyDescent="0.25">
      <c r="A81" s="198" t="s">
        <v>184</v>
      </c>
      <c r="B81" s="199">
        <f>SUM(B82:B83)</f>
        <v>0</v>
      </c>
      <c r="C81" s="199">
        <f>SUM(C82:C83)</f>
        <v>9700</v>
      </c>
      <c r="D81" s="199">
        <f>SUM(D82:D83)</f>
        <v>0</v>
      </c>
      <c r="E81" s="200">
        <f>SUM(E82:E83)</f>
        <v>9700</v>
      </c>
    </row>
    <row r="82" spans="1:5" x14ac:dyDescent="0.25">
      <c r="A82" s="201" t="s">
        <v>197</v>
      </c>
      <c r="B82" s="202">
        <f>'[1]Nota II.1.1.c'!C40</f>
        <v>0</v>
      </c>
      <c r="C82" s="202">
        <f>'[1]Nota II.1.1.c'!D40</f>
        <v>9700</v>
      </c>
      <c r="D82" s="202">
        <f>'[1]Nota II.1.1.c'!E40</f>
        <v>0</v>
      </c>
      <c r="E82" s="203">
        <f>B82+C82+D82</f>
        <v>9700</v>
      </c>
    </row>
    <row r="83" spans="1:5" x14ac:dyDescent="0.25">
      <c r="A83" s="201" t="s">
        <v>198</v>
      </c>
      <c r="B83" s="202">
        <f>'[1]Nota II.1.1.c'!C41</f>
        <v>0</v>
      </c>
      <c r="C83" s="202">
        <f>'[1]Nota II.1.1.c'!D41</f>
        <v>0</v>
      </c>
      <c r="D83" s="202">
        <f>'[1]Nota II.1.1.c'!E41</f>
        <v>0</v>
      </c>
      <c r="E83" s="203">
        <f>B83+C83+D83</f>
        <v>0</v>
      </c>
    </row>
    <row r="84" spans="1:5" x14ac:dyDescent="0.25">
      <c r="A84" s="198" t="s">
        <v>185</v>
      </c>
      <c r="B84" s="199">
        <f>SUM(B85:B87)</f>
        <v>16106.86</v>
      </c>
      <c r="C84" s="199">
        <f>SUM(C85:C87)</f>
        <v>0</v>
      </c>
      <c r="D84" s="199">
        <f>SUM(D85:D87)</f>
        <v>0</v>
      </c>
      <c r="E84" s="200">
        <f>SUM(E85:E87)</f>
        <v>16106.86</v>
      </c>
    </row>
    <row r="85" spans="1:5" x14ac:dyDescent="0.25">
      <c r="A85" s="201" t="s">
        <v>199</v>
      </c>
      <c r="B85" s="202">
        <f>'[1]Nota II.1.1.c'!C43</f>
        <v>0</v>
      </c>
      <c r="C85" s="202">
        <f>'[1]Nota II.1.1.c'!D43</f>
        <v>0</v>
      </c>
      <c r="D85" s="202">
        <f>'[1]Nota II.1.1.c'!E43</f>
        <v>0</v>
      </c>
      <c r="E85" s="203">
        <f>B85+C85+D85</f>
        <v>0</v>
      </c>
    </row>
    <row r="86" spans="1:5" x14ac:dyDescent="0.25">
      <c r="A86" s="201" t="s">
        <v>200</v>
      </c>
      <c r="B86" s="202">
        <f>'[1]Nota II.1.1.c'!C44</f>
        <v>16106.86</v>
      </c>
      <c r="C86" s="202">
        <f>'[1]Nota II.1.1.c'!D44</f>
        <v>0</v>
      </c>
      <c r="D86" s="202">
        <f>'[1]Nota II.1.1.c'!E44</f>
        <v>0</v>
      </c>
      <c r="E86" s="203">
        <f>B86+C86+D86</f>
        <v>16106.86</v>
      </c>
    </row>
    <row r="87" spans="1:5" x14ac:dyDescent="0.25">
      <c r="A87" s="204" t="s">
        <v>201</v>
      </c>
      <c r="B87" s="202">
        <f>'[1]Nota II.1.1.c'!C45</f>
        <v>0</v>
      </c>
      <c r="C87" s="202">
        <f>'[1]Nota II.1.1.c'!D45</f>
        <v>0</v>
      </c>
      <c r="D87" s="202">
        <f>'[1]Nota II.1.1.c'!E45</f>
        <v>0</v>
      </c>
      <c r="E87" s="203">
        <f>B87+C87+D87</f>
        <v>0</v>
      </c>
    </row>
    <row r="88" spans="1:5" ht="26.25" thickBot="1" x14ac:dyDescent="0.3">
      <c r="A88" s="205" t="s">
        <v>202</v>
      </c>
      <c r="B88" s="206">
        <f>B80+B81-B84</f>
        <v>423749.74</v>
      </c>
      <c r="C88" s="206">
        <f>C80+C81-C84</f>
        <v>18780484.579999998</v>
      </c>
      <c r="D88" s="206">
        <f>D80+D81-D84</f>
        <v>0</v>
      </c>
      <c r="E88" s="207">
        <f>E80+E81-E84</f>
        <v>19204234.32</v>
      </c>
    </row>
    <row r="89" spans="1:5" x14ac:dyDescent="0.25">
      <c r="A89" s="208" t="s">
        <v>203</v>
      </c>
      <c r="B89" s="209"/>
      <c r="C89" s="209"/>
      <c r="D89" s="209"/>
      <c r="E89" s="210"/>
    </row>
    <row r="90" spans="1:5" x14ac:dyDescent="0.25">
      <c r="A90" s="195" t="s">
        <v>204</v>
      </c>
      <c r="B90" s="196">
        <f>'[1]Nota II.1.1.c'!C48</f>
        <v>0</v>
      </c>
      <c r="C90" s="196">
        <f>'[1]Nota II.1.1.c'!D48</f>
        <v>0</v>
      </c>
      <c r="D90" s="196">
        <f>'[1]Nota II.1.1.c'!E48</f>
        <v>0</v>
      </c>
      <c r="E90" s="197">
        <f>B90+C90+D90</f>
        <v>0</v>
      </c>
    </row>
    <row r="91" spans="1:5" x14ac:dyDescent="0.25">
      <c r="A91" s="198" t="s">
        <v>184</v>
      </c>
      <c r="B91" s="211">
        <f>'[1]Nota II.1.1.c'!C49</f>
        <v>0</v>
      </c>
      <c r="C91" s="211">
        <f>'[1]Nota II.1.1.c'!D49</f>
        <v>0</v>
      </c>
      <c r="D91" s="211">
        <f>'[1]Nota II.1.1.c'!E49</f>
        <v>0</v>
      </c>
      <c r="E91" s="212">
        <f>SUM(B91:D91)</f>
        <v>0</v>
      </c>
    </row>
    <row r="92" spans="1:5" x14ac:dyDescent="0.25">
      <c r="A92" s="198" t="s">
        <v>185</v>
      </c>
      <c r="B92" s="211">
        <f>'[1]Nota II.1.1.c'!C51</f>
        <v>0</v>
      </c>
      <c r="C92" s="211">
        <f>'[1]Nota II.1.1.c'!D51</f>
        <v>0</v>
      </c>
      <c r="D92" s="211">
        <f>'[1]Nota II.1.1.c'!E51</f>
        <v>0</v>
      </c>
      <c r="E92" s="212">
        <f>SUM(B92:D92)</f>
        <v>0</v>
      </c>
    </row>
    <row r="93" spans="1:5" ht="13.5" thickBot="1" x14ac:dyDescent="0.3">
      <c r="A93" s="205" t="s">
        <v>205</v>
      </c>
      <c r="B93" s="206">
        <f>B90+B91-B92</f>
        <v>0</v>
      </c>
      <c r="C93" s="206">
        <f>C90+C91-C92</f>
        <v>0</v>
      </c>
      <c r="D93" s="206">
        <f>D90+D91-D92</f>
        <v>0</v>
      </c>
      <c r="E93" s="207">
        <f>E90+E91-E92</f>
        <v>0</v>
      </c>
    </row>
    <row r="94" spans="1:5" x14ac:dyDescent="0.2">
      <c r="A94" s="213" t="s">
        <v>186</v>
      </c>
      <c r="B94" s="214"/>
      <c r="C94" s="215"/>
      <c r="D94" s="215"/>
      <c r="E94" s="216"/>
    </row>
    <row r="95" spans="1:5" x14ac:dyDescent="0.2">
      <c r="A95" s="140" t="s">
        <v>7</v>
      </c>
      <c r="B95" s="217">
        <f>B80-B90</f>
        <v>439856.6</v>
      </c>
      <c r="C95" s="217">
        <f>C80-C90</f>
        <v>18770784.579999998</v>
      </c>
      <c r="D95" s="217">
        <f>D80-D90</f>
        <v>0</v>
      </c>
      <c r="E95" s="218">
        <f>E80-E90</f>
        <v>19210641.18</v>
      </c>
    </row>
    <row r="96" spans="1:5" ht="13.5" thickBot="1" x14ac:dyDescent="0.25">
      <c r="A96" s="143" t="s">
        <v>187</v>
      </c>
      <c r="B96" s="219">
        <f>B88-B93</f>
        <v>423749.74</v>
      </c>
      <c r="C96" s="219">
        <f t="shared" ref="C96:E96" si="13">C88-C93</f>
        <v>18780484.579999998</v>
      </c>
      <c r="D96" s="219">
        <f t="shared" si="13"/>
        <v>0</v>
      </c>
      <c r="E96" s="219">
        <f t="shared" si="13"/>
        <v>19204234.32</v>
      </c>
    </row>
    <row r="101" spans="1:9" ht="48" customHeight="1" x14ac:dyDescent="0.2">
      <c r="A101" s="106" t="s">
        <v>206</v>
      </c>
      <c r="B101" s="220"/>
      <c r="C101" s="220"/>
      <c r="D101" s="221"/>
      <c r="E101" s="221"/>
      <c r="F101" s="221"/>
      <c r="G101" s="221"/>
    </row>
    <row r="102" spans="1:9" x14ac:dyDescent="0.2">
      <c r="A102" s="222"/>
      <c r="B102" s="223"/>
      <c r="C102" s="223"/>
    </row>
    <row r="103" spans="1:9" s="226" customFormat="1" ht="13.5" customHeight="1" x14ac:dyDescent="0.2">
      <c r="A103" s="224" t="s">
        <v>207</v>
      </c>
      <c r="B103" s="225"/>
      <c r="C103" s="225"/>
      <c r="E103" s="224"/>
    </row>
    <row r="104" spans="1:9" s="226" customFormat="1" x14ac:dyDescent="0.2">
      <c r="A104" s="224" t="s">
        <v>208</v>
      </c>
      <c r="B104" s="227"/>
      <c r="C104" s="227"/>
      <c r="E104" s="224"/>
    </row>
    <row r="105" spans="1:9" s="226" customFormat="1" x14ac:dyDescent="0.2">
      <c r="A105" s="228"/>
      <c r="B105" s="228"/>
      <c r="C105" s="228"/>
    </row>
    <row r="107" spans="1:9" x14ac:dyDescent="0.2">
      <c r="A107" s="106" t="s">
        <v>209</v>
      </c>
      <c r="B107" s="220"/>
      <c r="C107" s="220"/>
      <c r="D107" s="221"/>
      <c r="E107" s="221"/>
      <c r="F107" s="221"/>
      <c r="G107" s="221"/>
    </row>
    <row r="108" spans="1:9" ht="13.5" thickBot="1" x14ac:dyDescent="0.25">
      <c r="A108" s="222"/>
      <c r="B108" s="223"/>
      <c r="C108" s="223"/>
    </row>
    <row r="109" spans="1:9" ht="13.5" customHeight="1" x14ac:dyDescent="0.2">
      <c r="A109" s="229"/>
      <c r="B109" s="230" t="s">
        <v>210</v>
      </c>
      <c r="C109" s="231"/>
      <c r="D109" s="231"/>
      <c r="E109" s="231"/>
      <c r="F109" s="232"/>
      <c r="G109" s="230" t="s">
        <v>211</v>
      </c>
      <c r="H109" s="231"/>
      <c r="I109" s="232"/>
    </row>
    <row r="110" spans="1:9" ht="38.25" x14ac:dyDescent="0.2">
      <c r="A110" s="233"/>
      <c r="B110" s="234" t="s">
        <v>212</v>
      </c>
      <c r="C110" s="235" t="s">
        <v>213</v>
      </c>
      <c r="D110" s="235" t="s">
        <v>214</v>
      </c>
      <c r="E110" s="235" t="s">
        <v>215</v>
      </c>
      <c r="F110" s="236" t="s">
        <v>216</v>
      </c>
      <c r="G110" s="237" t="s">
        <v>217</v>
      </c>
      <c r="H110" s="238" t="s">
        <v>218</v>
      </c>
      <c r="I110" s="239" t="s">
        <v>219</v>
      </c>
    </row>
    <row r="111" spans="1:9" x14ac:dyDescent="0.2">
      <c r="A111" s="240" t="s">
        <v>7</v>
      </c>
      <c r="B111" s="241">
        <f>'[1]Nota II.1.3'!B23</f>
        <v>0</v>
      </c>
      <c r="C111" s="241">
        <f>'[1]Nota II.1.3'!C23</f>
        <v>27253283.239999998</v>
      </c>
      <c r="D111" s="241">
        <f>'[1]Nota II.1.3'!D23</f>
        <v>0</v>
      </c>
      <c r="E111" s="241">
        <f>'[1]Nota II.1.3'!E23</f>
        <v>45739877.479999997</v>
      </c>
      <c r="F111" s="242">
        <f>'[1]Nota II.1.3'!F23</f>
        <v>0</v>
      </c>
      <c r="G111" s="241">
        <f>'[1]Nota II.1.3'!G23</f>
        <v>55841426.5</v>
      </c>
      <c r="H111" s="241">
        <f>'[1]Nota II.1.3'!H23</f>
        <v>0</v>
      </c>
      <c r="I111" s="243">
        <f>'[1]Nota II.1.3'!I23</f>
        <v>0</v>
      </c>
    </row>
    <row r="112" spans="1:9" ht="38.25" x14ac:dyDescent="0.2">
      <c r="A112" s="244" t="s">
        <v>220</v>
      </c>
      <c r="B112" s="245">
        <f>'[1]Nota II.1.3'!B24</f>
        <v>0</v>
      </c>
      <c r="C112" s="246">
        <f>'[1]Nota II.1.3'!C24</f>
        <v>195287.41</v>
      </c>
      <c r="D112" s="247">
        <f>'[1]Nota II.1.3'!D24</f>
        <v>0</v>
      </c>
      <c r="E112" s="247">
        <f>'[1]Nota II.1.3'!E24</f>
        <v>2982116.94</v>
      </c>
      <c r="F112" s="248">
        <f>'[1]Nota II.1.3'!F24</f>
        <v>0</v>
      </c>
      <c r="G112" s="245">
        <f>'[1]Nota II.1.3'!G24</f>
        <v>3183779.04</v>
      </c>
      <c r="H112" s="248">
        <f>'[1]Nota II.1.3'!H24</f>
        <v>0</v>
      </c>
      <c r="I112" s="169">
        <f>'[1]Nota II.1.3'!I11</f>
        <v>0</v>
      </c>
    </row>
    <row r="113" spans="1:9" ht="38.25" x14ac:dyDescent="0.2">
      <c r="A113" s="244" t="s">
        <v>221</v>
      </c>
      <c r="B113" s="245">
        <f>'[1]Nota II.1.3'!B25</f>
        <v>0</v>
      </c>
      <c r="C113" s="246">
        <f>'[1]Nota II.1.3'!C25</f>
        <v>5513177.1600000001</v>
      </c>
      <c r="D113" s="247">
        <f>'[1]Nota II.1.3'!D25</f>
        <v>0</v>
      </c>
      <c r="E113" s="247">
        <f>'[1]Nota II.1.3'!E25</f>
        <v>0</v>
      </c>
      <c r="F113" s="248">
        <f>'[1]Nota II.1.3'!F25</f>
        <v>0</v>
      </c>
      <c r="G113" s="245">
        <f>'[1]Nota II.1.3'!G25</f>
        <v>13022026.810000001</v>
      </c>
      <c r="H113" s="248">
        <f>'[1]Nota II.1.3'!H25</f>
        <v>0</v>
      </c>
      <c r="I113" s="169">
        <f>'[1]Nota II.1.3'!I12</f>
        <v>0</v>
      </c>
    </row>
    <row r="114" spans="1:9" ht="13.5" thickBot="1" x14ac:dyDescent="0.25">
      <c r="A114" s="249" t="s">
        <v>8</v>
      </c>
      <c r="B114" s="250">
        <f t="shared" ref="B114:I114" si="14">B111+B112-B113</f>
        <v>0</v>
      </c>
      <c r="C114" s="251">
        <f t="shared" si="14"/>
        <v>21935393.489999998</v>
      </c>
      <c r="D114" s="252">
        <f t="shared" si="14"/>
        <v>0</v>
      </c>
      <c r="E114" s="250">
        <f t="shared" si="14"/>
        <v>48721994.419999994</v>
      </c>
      <c r="F114" s="253">
        <f t="shared" si="14"/>
        <v>0</v>
      </c>
      <c r="G114" s="254">
        <f t="shared" si="14"/>
        <v>46003178.729999997</v>
      </c>
      <c r="H114" s="255">
        <f t="shared" si="14"/>
        <v>0</v>
      </c>
      <c r="I114" s="256">
        <f t="shared" si="14"/>
        <v>0</v>
      </c>
    </row>
    <row r="117" spans="1:9" x14ac:dyDescent="0.2">
      <c r="A117" s="106" t="s">
        <v>222</v>
      </c>
      <c r="B117" s="220"/>
      <c r="C117" s="220"/>
    </row>
    <row r="118" spans="1:9" ht="13.5" thickBot="1" x14ac:dyDescent="0.25">
      <c r="A118" s="222"/>
      <c r="B118" s="223"/>
      <c r="C118" s="223"/>
    </row>
    <row r="119" spans="1:9" ht="30" customHeight="1" x14ac:dyDescent="0.2">
      <c r="A119" s="257" t="s">
        <v>223</v>
      </c>
      <c r="B119" s="258" t="s">
        <v>7</v>
      </c>
      <c r="C119" s="259" t="s">
        <v>8</v>
      </c>
    </row>
    <row r="120" spans="1:9" ht="26.25" thickBot="1" x14ac:dyDescent="0.25">
      <c r="A120" s="260" t="s">
        <v>224</v>
      </c>
      <c r="B120" s="261">
        <f>'[2]Nota II.1.4'!B17</f>
        <v>208457347.88</v>
      </c>
      <c r="C120" s="262">
        <f>'[2]Nota II.1.4'!C17</f>
        <v>224246069.03999999</v>
      </c>
    </row>
    <row r="126" spans="1:9" ht="50.25" customHeight="1" x14ac:dyDescent="0.2">
      <c r="A126" s="106" t="s">
        <v>225</v>
      </c>
      <c r="B126" s="220"/>
      <c r="C126" s="220"/>
      <c r="D126" s="221"/>
    </row>
    <row r="127" spans="1:9" ht="13.5" thickBot="1" x14ac:dyDescent="0.25">
      <c r="A127" s="222"/>
      <c r="B127" s="223"/>
      <c r="C127" s="223"/>
    </row>
    <row r="128" spans="1:9" x14ac:dyDescent="0.2">
      <c r="A128" s="263" t="s">
        <v>191</v>
      </c>
      <c r="B128" s="264"/>
      <c r="C128" s="258" t="s">
        <v>7</v>
      </c>
      <c r="D128" s="259" t="s">
        <v>8</v>
      </c>
    </row>
    <row r="129" spans="1:10" ht="66" customHeight="1" x14ac:dyDescent="0.2">
      <c r="A129" s="265" t="s">
        <v>226</v>
      </c>
      <c r="B129" s="266"/>
      <c r="C129" s="267">
        <f>C131+SUM(C132:C135)</f>
        <v>723115.29</v>
      </c>
      <c r="D129" s="268">
        <f>D131+SUM(D132:D135)</f>
        <v>687515.81</v>
      </c>
    </row>
    <row r="130" spans="1:10" x14ac:dyDescent="0.2">
      <c r="A130" s="269" t="s">
        <v>227</v>
      </c>
      <c r="B130" s="270"/>
      <c r="C130" s="271"/>
      <c r="D130" s="272"/>
    </row>
    <row r="131" spans="1:10" x14ac:dyDescent="0.2">
      <c r="A131" s="273" t="s">
        <v>166</v>
      </c>
      <c r="B131" s="274"/>
      <c r="C131" s="275">
        <f>'[1]Nota II.1.5'!B25</f>
        <v>0</v>
      </c>
      <c r="D131" s="276">
        <f>'[1]Nota II.1.5'!C25</f>
        <v>0</v>
      </c>
    </row>
    <row r="132" spans="1:10" x14ac:dyDescent="0.2">
      <c r="A132" s="277" t="s">
        <v>168</v>
      </c>
      <c r="B132" s="278"/>
      <c r="C132" s="275">
        <f>'[1]Nota II.1.5'!B26</f>
        <v>0</v>
      </c>
      <c r="D132" s="276">
        <f>'[1]Nota II.1.5'!C26</f>
        <v>0</v>
      </c>
    </row>
    <row r="133" spans="1:10" x14ac:dyDescent="0.2">
      <c r="A133" s="277" t="s">
        <v>169</v>
      </c>
      <c r="B133" s="278"/>
      <c r="C133" s="275">
        <f>'[1]Nota II.1.5'!B27</f>
        <v>449766.37</v>
      </c>
      <c r="D133" s="276">
        <f>'[1]Nota II.1.5'!C27</f>
        <v>446079.89</v>
      </c>
    </row>
    <row r="134" spans="1:10" x14ac:dyDescent="0.2">
      <c r="A134" s="277" t="s">
        <v>170</v>
      </c>
      <c r="B134" s="278"/>
      <c r="C134" s="275">
        <f>'[1]Nota II.1.5'!B28</f>
        <v>255274</v>
      </c>
      <c r="D134" s="276">
        <f>'[1]Nota II.1.5'!C28</f>
        <v>223361</v>
      </c>
    </row>
    <row r="135" spans="1:10" ht="13.5" thickBot="1" x14ac:dyDescent="0.25">
      <c r="A135" s="279" t="s">
        <v>171</v>
      </c>
      <c r="B135" s="280"/>
      <c r="C135" s="281">
        <f>'[1]Nota II.1.5'!B29</f>
        <v>18074.919999999998</v>
      </c>
      <c r="D135" s="282">
        <f>'[1]Nota II.1.5'!C29</f>
        <v>18074.919999999998</v>
      </c>
    </row>
    <row r="140" spans="1:10" x14ac:dyDescent="0.25">
      <c r="A140" s="283" t="s">
        <v>228</v>
      </c>
      <c r="B140" s="284"/>
      <c r="C140" s="284"/>
      <c r="D140" s="284"/>
      <c r="E140" s="284"/>
      <c r="F140" s="284"/>
      <c r="G140" s="284"/>
      <c r="H140" s="284"/>
      <c r="I140" s="284"/>
    </row>
    <row r="141" spans="1:10" ht="6" customHeight="1" thickBot="1" x14ac:dyDescent="0.3">
      <c r="B141" s="285"/>
      <c r="C141" s="285"/>
      <c r="D141" s="285"/>
      <c r="E141" s="285" t="s">
        <v>229</v>
      </c>
      <c r="F141" s="286"/>
      <c r="G141" s="286"/>
      <c r="H141" s="286"/>
      <c r="I141" s="286"/>
    </row>
    <row r="142" spans="1:10" ht="89.25" customHeight="1" thickBot="1" x14ac:dyDescent="0.3">
      <c r="A142" s="287" t="s">
        <v>230</v>
      </c>
      <c r="B142" s="288"/>
      <c r="C142" s="289" t="s">
        <v>231</v>
      </c>
      <c r="D142" s="290" t="s">
        <v>232</v>
      </c>
      <c r="E142" s="289" t="s">
        <v>233</v>
      </c>
      <c r="F142" s="291" t="s">
        <v>234</v>
      </c>
      <c r="G142" s="289" t="s">
        <v>235</v>
      </c>
      <c r="H142" s="289" t="s">
        <v>236</v>
      </c>
      <c r="I142" s="292" t="s">
        <v>237</v>
      </c>
    </row>
    <row r="143" spans="1:10" x14ac:dyDescent="0.25">
      <c r="A143" s="293" t="s">
        <v>8</v>
      </c>
      <c r="B143" s="294"/>
      <c r="C143" s="295"/>
      <c r="D143" s="295"/>
      <c r="E143" s="295"/>
      <c r="F143" s="295"/>
      <c r="G143" s="295"/>
      <c r="H143" s="295"/>
      <c r="I143" s="296"/>
    </row>
    <row r="144" spans="1:10" ht="15" customHeight="1" x14ac:dyDescent="0.2">
      <c r="A144" s="297" t="s">
        <v>238</v>
      </c>
      <c r="B144" s="298"/>
      <c r="C144" s="299">
        <f>'[1]Nota II.1.6'!C285</f>
        <v>10406</v>
      </c>
      <c r="D144" s="300">
        <f>'[1]Nota II.1.6'!D285</f>
        <v>100</v>
      </c>
      <c r="E144" s="300">
        <f>'[1]Nota II.1.6'!E285</f>
        <v>520300</v>
      </c>
      <c r="F144" s="300">
        <f>'[1]Nota II.1.6'!F285</f>
        <v>0</v>
      </c>
      <c r="G144" s="300">
        <f>'[1]Nota II.1.6'!G285</f>
        <v>520300</v>
      </c>
      <c r="H144" s="300">
        <f>'[1]Nota II.1.6'!H285</f>
        <v>-185696.53</v>
      </c>
      <c r="I144" s="300">
        <f>'[1]Nota II.1.6'!I285</f>
        <v>1768619.44</v>
      </c>
      <c r="J144" s="301"/>
    </row>
    <row r="145" spans="1:10" x14ac:dyDescent="0.2">
      <c r="A145" s="302" t="s">
        <v>239</v>
      </c>
      <c r="B145" s="303"/>
      <c r="C145" s="299">
        <f>'[1]Nota II.1.6'!C286</f>
        <v>657835</v>
      </c>
      <c r="D145" s="300">
        <f>'[1]Nota II.1.6'!D286</f>
        <v>100</v>
      </c>
      <c r="E145" s="300">
        <f>'[1]Nota II.1.6'!E286</f>
        <v>328917500</v>
      </c>
      <c r="F145" s="300">
        <f>'[1]Nota II.1.6'!F286</f>
        <v>0</v>
      </c>
      <c r="G145" s="300">
        <f>'[1]Nota II.1.6'!G286</f>
        <v>328917500</v>
      </c>
      <c r="H145" s="300">
        <f>'[1]Nota II.1.6'!H286</f>
        <v>4521856.08</v>
      </c>
      <c r="I145" s="300">
        <f>'[1]Nota II.1.6'!I286</f>
        <v>660288957.07000005</v>
      </c>
      <c r="J145" s="301"/>
    </row>
    <row r="146" spans="1:10" ht="26.25" customHeight="1" x14ac:dyDescent="0.2">
      <c r="A146" s="302" t="s">
        <v>240</v>
      </c>
      <c r="B146" s="303"/>
      <c r="C146" s="299">
        <f>'[1]Nota II.1.6'!C287</f>
        <v>585616</v>
      </c>
      <c r="D146" s="300">
        <f>'[1]Nota II.1.6'!D287</f>
        <v>100</v>
      </c>
      <c r="E146" s="300">
        <f>'[1]Nota II.1.6'!E287</f>
        <v>292808000</v>
      </c>
      <c r="F146" s="300">
        <f>'[1]Nota II.1.6'!F287</f>
        <v>0</v>
      </c>
      <c r="G146" s="300">
        <f>'[1]Nota II.1.6'!G287</f>
        <v>292808000</v>
      </c>
      <c r="H146" s="300">
        <f>'[1]Nota II.1.6'!H287</f>
        <v>5423723.7000000002</v>
      </c>
      <c r="I146" s="300">
        <f>'[1]Nota II.1.6'!I287</f>
        <v>660192978.23000002</v>
      </c>
      <c r="J146" s="301"/>
    </row>
    <row r="147" spans="1:10" ht="15" customHeight="1" x14ac:dyDescent="0.2">
      <c r="A147" s="302" t="s">
        <v>241</v>
      </c>
      <c r="B147" s="303"/>
      <c r="C147" s="299">
        <f>'[1]Nota II.1.6'!C288</f>
        <v>461782</v>
      </c>
      <c r="D147" s="300">
        <f>'[1]Nota II.1.6'!D288</f>
        <v>100</v>
      </c>
      <c r="E147" s="300">
        <f>'[1]Nota II.1.6'!E288</f>
        <v>230891000</v>
      </c>
      <c r="F147" s="300">
        <f>'[1]Nota II.1.6'!F288</f>
        <v>0</v>
      </c>
      <c r="G147" s="300">
        <f>'[1]Nota II.1.6'!G288</f>
        <v>230891000</v>
      </c>
      <c r="H147" s="300">
        <f>'[1]Nota II.1.6'!H288</f>
        <v>19294342.690000001</v>
      </c>
      <c r="I147" s="300">
        <f>'[1]Nota II.1.6'!I288</f>
        <v>331781440.91000003</v>
      </c>
      <c r="J147" s="301"/>
    </row>
    <row r="148" spans="1:10" ht="15" customHeight="1" x14ac:dyDescent="0.2">
      <c r="A148" s="302" t="s">
        <v>242</v>
      </c>
      <c r="B148" s="303"/>
      <c r="C148" s="299">
        <f>'[1]Nota II.1.6'!C308</f>
        <v>4600</v>
      </c>
      <c r="D148" s="300">
        <f>'[1]Nota II.1.6'!D308</f>
        <v>100</v>
      </c>
      <c r="E148" s="300">
        <f>'[1]Nota II.1.6'!E308</f>
        <v>2300000</v>
      </c>
      <c r="F148" s="300">
        <f>'[1]Nota II.1.6'!F308</f>
        <v>0</v>
      </c>
      <c r="G148" s="300">
        <f>'[1]Nota II.1.6'!G308</f>
        <v>2300000</v>
      </c>
      <c r="H148" s="300">
        <f>'[1]Nota II.1.6'!H308</f>
        <v>-410481.88</v>
      </c>
      <c r="I148" s="300">
        <f>'[1]Nota II.1.6'!I308</f>
        <v>5191319.75</v>
      </c>
      <c r="J148" s="301"/>
    </row>
    <row r="149" spans="1:10" ht="26.45" customHeight="1" x14ac:dyDescent="0.2">
      <c r="A149" s="302" t="s">
        <v>243</v>
      </c>
      <c r="B149" s="303"/>
      <c r="C149" s="299">
        <f>'[1]Nota II.1.6'!C290</f>
        <v>27345751</v>
      </c>
      <c r="D149" s="300">
        <f>'[1]Nota II.1.6'!D290</f>
        <v>100</v>
      </c>
      <c r="E149" s="300">
        <f>'[1]Nota II.1.6'!E290</f>
        <v>2734575100</v>
      </c>
      <c r="F149" s="300">
        <f>'[1]Nota II.1.6'!F290</f>
        <v>0</v>
      </c>
      <c r="G149" s="300">
        <f>'[1]Nota II.1.6'!G290</f>
        <v>2734575100</v>
      </c>
      <c r="H149" s="300">
        <f>'[1]Nota II.1.6'!H290</f>
        <v>-39253709.280000001</v>
      </c>
      <c r="I149" s="300">
        <f>'[1]Nota II.1.6'!I290</f>
        <v>4621148660.8500004</v>
      </c>
      <c r="J149" s="301"/>
    </row>
    <row r="150" spans="1:10" x14ac:dyDescent="0.2">
      <c r="A150" s="302" t="s">
        <v>244</v>
      </c>
      <c r="B150" s="303"/>
      <c r="C150" s="299">
        <f>'[1]Nota II.1.6'!C291</f>
        <v>1133516</v>
      </c>
      <c r="D150" s="300">
        <f>'[1]Nota II.1.6'!D291</f>
        <v>100</v>
      </c>
      <c r="E150" s="300">
        <f>'[1]Nota II.1.6'!E291</f>
        <v>566758000</v>
      </c>
      <c r="F150" s="300">
        <f>'[1]Nota II.1.6'!F291</f>
        <v>0</v>
      </c>
      <c r="G150" s="300">
        <f>'[1]Nota II.1.6'!G291</f>
        <v>566758000</v>
      </c>
      <c r="H150" s="300">
        <f>'[1]Nota II.1.6'!H291</f>
        <v>472518.45</v>
      </c>
      <c r="I150" s="300">
        <f>'[1]Nota II.1.6'!I291</f>
        <v>759969643.76999998</v>
      </c>
      <c r="J150" s="301"/>
    </row>
    <row r="151" spans="1:10" ht="24" customHeight="1" x14ac:dyDescent="0.2">
      <c r="A151" s="302" t="s">
        <v>245</v>
      </c>
      <c r="B151" s="303"/>
      <c r="C151" s="299">
        <f>'[1]Nota II.1.6'!C292</f>
        <v>10000</v>
      </c>
      <c r="D151" s="300">
        <f>'[1]Nota II.1.6'!D292</f>
        <v>100</v>
      </c>
      <c r="E151" s="300">
        <f>'[1]Nota II.1.6'!E292</f>
        <v>5000000</v>
      </c>
      <c r="F151" s="300">
        <f>'[1]Nota II.1.6'!F292</f>
        <v>0</v>
      </c>
      <c r="G151" s="300">
        <f>'[1]Nota II.1.6'!G292</f>
        <v>5000000</v>
      </c>
      <c r="H151" s="300">
        <f>'[1]Nota II.1.6'!H292</f>
        <v>2586884.37</v>
      </c>
      <c r="I151" s="300">
        <f>'[1]Nota II.1.6'!I292</f>
        <v>23174200.32</v>
      </c>
      <c r="J151" s="301"/>
    </row>
    <row r="152" spans="1:10" x14ac:dyDescent="0.2">
      <c r="A152" s="302" t="s">
        <v>246</v>
      </c>
      <c r="B152" s="303"/>
      <c r="C152" s="299">
        <f>'[1]Nota II.1.6'!C293</f>
        <v>24601</v>
      </c>
      <c r="D152" s="300">
        <f>'[1]Nota II.1.6'!D293</f>
        <v>100</v>
      </c>
      <c r="E152" s="300">
        <f>'[1]Nota II.1.6'!E293</f>
        <v>1230050</v>
      </c>
      <c r="F152" s="300">
        <f>'[1]Nota II.1.6'!F293</f>
        <v>0</v>
      </c>
      <c r="G152" s="300">
        <f>'[1]Nota II.1.6'!G293</f>
        <v>1230050</v>
      </c>
      <c r="H152" s="300">
        <f>'[1]Nota II.1.6'!H293</f>
        <v>208962.78</v>
      </c>
      <c r="I152" s="300">
        <f>'[1]Nota II.1.6'!I293</f>
        <v>7203224.75</v>
      </c>
      <c r="J152" s="301"/>
    </row>
    <row r="153" spans="1:10" ht="15" customHeight="1" x14ac:dyDescent="0.2">
      <c r="A153" s="302" t="s">
        <v>247</v>
      </c>
      <c r="B153" s="303"/>
      <c r="C153" s="299">
        <f>'[1]Nota II.1.6'!C294</f>
        <v>80500</v>
      </c>
      <c r="D153" s="300">
        <f>'[1]Nota II.1.6'!D294</f>
        <v>100</v>
      </c>
      <c r="E153" s="300">
        <f>'[1]Nota II.1.6'!E294</f>
        <v>80500000</v>
      </c>
      <c r="F153" s="300">
        <f>'[1]Nota II.1.6'!F294</f>
        <v>0</v>
      </c>
      <c r="G153" s="300">
        <f>'[1]Nota II.1.6'!G294</f>
        <v>80500000</v>
      </c>
      <c r="H153" s="300">
        <f>'[1]Nota II.1.6'!H294</f>
        <v>1966.05</v>
      </c>
      <c r="I153" s="300">
        <f>'[1]Nota II.1.6'!I294</f>
        <v>116259848.94</v>
      </c>
      <c r="J153" s="301"/>
    </row>
    <row r="154" spans="1:10" x14ac:dyDescent="0.2">
      <c r="A154" s="302" t="s">
        <v>248</v>
      </c>
      <c r="B154" s="303"/>
      <c r="C154" s="299">
        <f>'[1]Nota II.1.6'!C295</f>
        <v>168433</v>
      </c>
      <c r="D154" s="300">
        <f>'[1]Nota II.1.6'!D295</f>
        <v>100</v>
      </c>
      <c r="E154" s="300">
        <f>'[1]Nota II.1.6'!E295</f>
        <v>168433000</v>
      </c>
      <c r="F154" s="300">
        <f>'[1]Nota II.1.6'!F295</f>
        <v>0</v>
      </c>
      <c r="G154" s="300">
        <f>'[1]Nota II.1.6'!G295</f>
        <v>168433000</v>
      </c>
      <c r="H154" s="300">
        <f>'[1]Nota II.1.6'!H295</f>
        <v>5163480.1399999997</v>
      </c>
      <c r="I154" s="300">
        <f>'[1]Nota II.1.6'!I295</f>
        <v>235845004.62</v>
      </c>
      <c r="J154" s="301"/>
    </row>
    <row r="155" spans="1:10" ht="13.5" customHeight="1" x14ac:dyDescent="0.2">
      <c r="A155" s="302" t="s">
        <v>249</v>
      </c>
      <c r="B155" s="303"/>
      <c r="C155" s="299">
        <f>'[1]Nota II.1.6'!C296</f>
        <v>177563</v>
      </c>
      <c r="D155" s="300">
        <f>'[1]Nota II.1.6'!D296</f>
        <v>100</v>
      </c>
      <c r="E155" s="300">
        <f>'[1]Nota II.1.6'!E296</f>
        <v>177563000</v>
      </c>
      <c r="F155" s="300">
        <f>'[1]Nota II.1.6'!F296</f>
        <v>0</v>
      </c>
      <c r="G155" s="300">
        <f>'[1]Nota II.1.6'!G296</f>
        <v>177563000</v>
      </c>
      <c r="H155" s="300">
        <f>'[1]Nota II.1.6'!H296</f>
        <v>3391426.87</v>
      </c>
      <c r="I155" s="300">
        <f>'[1]Nota II.1.6'!I296</f>
        <v>195220041.09</v>
      </c>
      <c r="J155" s="301"/>
    </row>
    <row r="156" spans="1:10" ht="13.5" customHeight="1" x14ac:dyDescent="0.2">
      <c r="A156" s="302" t="s">
        <v>250</v>
      </c>
      <c r="B156" s="303"/>
      <c r="C156" s="299">
        <f>'[1]Nota II.1.6'!C297</f>
        <v>1626550</v>
      </c>
      <c r="D156" s="300">
        <f>'[1]Nota II.1.6'!D297</f>
        <v>100</v>
      </c>
      <c r="E156" s="300">
        <f>'[1]Nota II.1.6'!E297</f>
        <v>813275000</v>
      </c>
      <c r="F156" s="300">
        <f>'[1]Nota II.1.6'!F297</f>
        <v>0</v>
      </c>
      <c r="G156" s="300">
        <f>'[1]Nota II.1.6'!G297</f>
        <v>813275000</v>
      </c>
      <c r="H156" s="300">
        <f>'[1]Nota II.1.6'!H297</f>
        <v>-6465494.1100000003</v>
      </c>
      <c r="I156" s="300">
        <f>'[1]Nota II.1.6'!I297</f>
        <v>1146706668</v>
      </c>
      <c r="J156" s="301"/>
    </row>
    <row r="157" spans="1:10" x14ac:dyDescent="0.2">
      <c r="A157" s="302" t="s">
        <v>251</v>
      </c>
      <c r="B157" s="303"/>
      <c r="C157" s="299">
        <f>'[1]Nota II.1.6'!C298</f>
        <v>6600</v>
      </c>
      <c r="D157" s="300">
        <f>'[1]Nota II.1.6'!D298</f>
        <v>100</v>
      </c>
      <c r="E157" s="300">
        <f>'[1]Nota II.1.6'!E298</f>
        <v>3300000</v>
      </c>
      <c r="F157" s="300">
        <f>'[1]Nota II.1.6'!F298</f>
        <v>0</v>
      </c>
      <c r="G157" s="300">
        <f>'[1]Nota II.1.6'!G298</f>
        <v>3300000</v>
      </c>
      <c r="H157" s="300">
        <f>'[1]Nota II.1.6'!H298</f>
        <v>137826.84</v>
      </c>
      <c r="I157" s="300">
        <f>'[1]Nota II.1.6'!I298</f>
        <v>5001649.95</v>
      </c>
      <c r="J157" s="301"/>
    </row>
    <row r="158" spans="1:10" ht="15" customHeight="1" x14ac:dyDescent="0.2">
      <c r="A158" s="302" t="s">
        <v>252</v>
      </c>
      <c r="B158" s="303"/>
      <c r="C158" s="299">
        <f>'[1]Nota II.1.6'!C299</f>
        <v>1000</v>
      </c>
      <c r="D158" s="300">
        <f>'[1]Nota II.1.6'!D299</f>
        <v>100</v>
      </c>
      <c r="E158" s="300">
        <f>'[1]Nota II.1.6'!E299</f>
        <v>1000000</v>
      </c>
      <c r="F158" s="300">
        <f>'[1]Nota II.1.6'!F299</f>
        <v>0</v>
      </c>
      <c r="G158" s="300">
        <f>'[1]Nota II.1.6'!G299</f>
        <v>1000000</v>
      </c>
      <c r="H158" s="300">
        <f>'[1]Nota II.1.6'!H299</f>
        <v>229274.57</v>
      </c>
      <c r="I158" s="300">
        <f>'[1]Nota II.1.6'!I299</f>
        <v>18800806.379999999</v>
      </c>
      <c r="J158" s="301"/>
    </row>
    <row r="159" spans="1:10" ht="15" customHeight="1" x14ac:dyDescent="0.2">
      <c r="A159" s="302" t="s">
        <v>253</v>
      </c>
      <c r="B159" s="303"/>
      <c r="C159" s="299">
        <f>'[1]Nota II.1.6'!C300</f>
        <v>23964</v>
      </c>
      <c r="D159" s="300">
        <f>'[1]Nota II.1.6'!D300</f>
        <v>100</v>
      </c>
      <c r="E159" s="300">
        <f>'[1]Nota II.1.6'!E300</f>
        <v>23964000</v>
      </c>
      <c r="F159" s="300">
        <f>'[1]Nota II.1.6'!F300</f>
        <v>0</v>
      </c>
      <c r="G159" s="300">
        <f>'[1]Nota II.1.6'!G300</f>
        <v>23964000</v>
      </c>
      <c r="H159" s="300">
        <f>'[1]Nota II.1.6'!H300</f>
        <v>1548507.11</v>
      </c>
      <c r="I159" s="300">
        <f>'[1]Nota II.1.6'!I300</f>
        <v>31548525.899999999</v>
      </c>
      <c r="J159" s="301"/>
    </row>
    <row r="160" spans="1:10" ht="15" customHeight="1" x14ac:dyDescent="0.2">
      <c r="A160" s="302" t="s">
        <v>254</v>
      </c>
      <c r="B160" s="303"/>
      <c r="C160" s="299">
        <f>'[1]Nota II.1.6'!C301</f>
        <v>63465</v>
      </c>
      <c r="D160" s="300">
        <f>'[1]Nota II.1.6'!D301</f>
        <v>100</v>
      </c>
      <c r="E160" s="300">
        <f>'[1]Nota II.1.6'!E301</f>
        <v>63465000</v>
      </c>
      <c r="F160" s="300">
        <f>'[1]Nota II.1.6'!F301</f>
        <v>0</v>
      </c>
      <c r="G160" s="300">
        <f>'[1]Nota II.1.6'!G301</f>
        <v>63465000</v>
      </c>
      <c r="H160" s="300">
        <f>'[1]Nota II.1.6'!H301</f>
        <v>520902.96</v>
      </c>
      <c r="I160" s="300">
        <f>'[1]Nota II.1.6'!I301</f>
        <v>64338329.659999996</v>
      </c>
      <c r="J160" s="301"/>
    </row>
    <row r="161" spans="1:10" ht="15" customHeight="1" x14ac:dyDescent="0.2">
      <c r="A161" s="302" t="s">
        <v>255</v>
      </c>
      <c r="B161" s="303"/>
      <c r="C161" s="299">
        <f>'[1]Nota II.1.6'!C309</f>
        <v>19365</v>
      </c>
      <c r="D161" s="300">
        <f>'[1]Nota II.1.6'!D309</f>
        <v>100</v>
      </c>
      <c r="E161" s="300">
        <f>'[1]Nota II.1.6'!E309</f>
        <v>19365000</v>
      </c>
      <c r="F161" s="300">
        <f>'[1]Nota II.1.6'!F309</f>
        <v>6612029.1100000003</v>
      </c>
      <c r="G161" s="300">
        <f>'[1]Nota II.1.6'!G309</f>
        <v>12752970.890000001</v>
      </c>
      <c r="H161" s="300">
        <f>'[1]Nota II.1.6'!H309</f>
        <v>-15969826.16</v>
      </c>
      <c r="I161" s="300">
        <f>'[1]Nota II.1.6'!I309</f>
        <v>12752970.890000001</v>
      </c>
      <c r="J161" s="301"/>
    </row>
    <row r="162" spans="1:10" x14ac:dyDescent="0.2">
      <c r="A162" s="302" t="s">
        <v>256</v>
      </c>
      <c r="B162" s="303"/>
      <c r="C162" s="299">
        <f>'[1]Nota II.1.6'!C302</f>
        <v>19400</v>
      </c>
      <c r="D162" s="300">
        <f>'[1]Nota II.1.6'!D302</f>
        <v>100</v>
      </c>
      <c r="E162" s="300">
        <f>'[1]Nota II.1.6'!E302</f>
        <v>19400000</v>
      </c>
      <c r="F162" s="300">
        <f>'[1]Nota II.1.6'!F302</f>
        <v>0</v>
      </c>
      <c r="G162" s="300">
        <f>'[1]Nota II.1.6'!G302</f>
        <v>19400000</v>
      </c>
      <c r="H162" s="300">
        <f>'[1]Nota II.1.6'!H302</f>
        <v>-5192081.05</v>
      </c>
      <c r="I162" s="300">
        <f>'[1]Nota II.1.6'!I302</f>
        <v>23037599.57</v>
      </c>
      <c r="J162" s="301"/>
    </row>
    <row r="163" spans="1:10" ht="15" customHeight="1" x14ac:dyDescent="0.2">
      <c r="A163" s="302" t="s">
        <v>257</v>
      </c>
      <c r="B163" s="303"/>
      <c r="C163" s="299">
        <f>'[1]Nota II.1.6'!C303</f>
        <v>33402</v>
      </c>
      <c r="D163" s="300">
        <f>'[1]Nota II.1.6'!D303</f>
        <v>100</v>
      </c>
      <c r="E163" s="300">
        <f>'[1]Nota II.1.6'!E303</f>
        <v>33402000</v>
      </c>
      <c r="F163" s="300">
        <f>'[1]Nota II.1.6'!F303</f>
        <v>30628557.73</v>
      </c>
      <c r="G163" s="300">
        <f>'[1]Nota II.1.6'!G303</f>
        <v>2773442.27</v>
      </c>
      <c r="H163" s="300">
        <f>'[1]Nota II.1.6'!H303</f>
        <v>-41002343.259999998</v>
      </c>
      <c r="I163" s="300">
        <f>'[1]Nota II.1.6'!I303</f>
        <v>2773442.27</v>
      </c>
      <c r="J163" s="301"/>
    </row>
    <row r="164" spans="1:10" ht="13.5" customHeight="1" x14ac:dyDescent="0.2">
      <c r="A164" s="302" t="s">
        <v>258</v>
      </c>
      <c r="B164" s="303"/>
      <c r="C164" s="299">
        <f>'[1]Nota II.1.6'!C304</f>
        <v>20111</v>
      </c>
      <c r="D164" s="300">
        <f>'[1]Nota II.1.6'!D304</f>
        <v>100</v>
      </c>
      <c r="E164" s="300">
        <f>'[1]Nota II.1.6'!E304</f>
        <v>20111000</v>
      </c>
      <c r="F164" s="300">
        <f>'[1]Nota II.1.6'!F304</f>
        <v>1005538.08</v>
      </c>
      <c r="G164" s="300">
        <f>'[1]Nota II.1.6'!G304</f>
        <v>19105461.920000002</v>
      </c>
      <c r="H164" s="300">
        <f>'[1]Nota II.1.6'!H304</f>
        <v>-7010.45</v>
      </c>
      <c r="I164" s="300">
        <f>'[1]Nota II.1.6'!I304</f>
        <v>19105461.920000002</v>
      </c>
      <c r="J164" s="301"/>
    </row>
    <row r="165" spans="1:10" ht="24.75" customHeight="1" x14ac:dyDescent="0.2">
      <c r="A165" s="302" t="s">
        <v>259</v>
      </c>
      <c r="B165" s="303"/>
      <c r="C165" s="299">
        <f>'[1]Nota II.1.6'!C310</f>
        <v>100</v>
      </c>
      <c r="D165" s="300">
        <f>'[1]Nota II.1.6'!D310</f>
        <v>100</v>
      </c>
      <c r="E165" s="300">
        <f>'[1]Nota II.1.6'!E310</f>
        <v>100000</v>
      </c>
      <c r="F165" s="300">
        <f>'[1]Nota II.1.6'!F310</f>
        <v>0</v>
      </c>
      <c r="G165" s="300">
        <f>'[1]Nota II.1.6'!G310</f>
        <v>100000</v>
      </c>
      <c r="H165" s="300">
        <f>'[1]Nota II.1.6'!H310</f>
        <v>3565475.97</v>
      </c>
      <c r="I165" s="300">
        <f>'[1]Nota II.1.6'!I310</f>
        <v>11481541.289999999</v>
      </c>
      <c r="J165" s="301"/>
    </row>
    <row r="166" spans="1:10" ht="13.5" customHeight="1" x14ac:dyDescent="0.2">
      <c r="A166" s="302" t="s">
        <v>260</v>
      </c>
      <c r="B166" s="303"/>
      <c r="C166" s="299">
        <f>'[1]Nota II.1.6'!C311</f>
        <v>100</v>
      </c>
      <c r="D166" s="300">
        <f>'[1]Nota II.1.6'!D311</f>
        <v>100</v>
      </c>
      <c r="E166" s="300">
        <f>'[1]Nota II.1.6'!E311</f>
        <v>100000</v>
      </c>
      <c r="F166" s="300">
        <f>'[1]Nota II.1.6'!F311</f>
        <v>0</v>
      </c>
      <c r="G166" s="300">
        <f>'[1]Nota II.1.6'!G311</f>
        <v>100000</v>
      </c>
      <c r="H166" s="300">
        <f>'[1]Nota II.1.6'!H311</f>
        <v>-13196483.33</v>
      </c>
      <c r="I166" s="300">
        <f>'[1]Nota II.1.6'!I311</f>
        <v>-8091580.2599999998</v>
      </c>
      <c r="J166" s="301"/>
    </row>
    <row r="167" spans="1:10" ht="15" customHeight="1" x14ac:dyDescent="0.2">
      <c r="A167" s="302" t="s">
        <v>261</v>
      </c>
      <c r="B167" s="303"/>
      <c r="C167" s="299">
        <f>'[1]Nota II.1.6'!C305</f>
        <v>100</v>
      </c>
      <c r="D167" s="300">
        <f>'[1]Nota II.1.6'!D305</f>
        <v>100</v>
      </c>
      <c r="E167" s="300">
        <f>'[1]Nota II.1.6'!E305</f>
        <v>50000</v>
      </c>
      <c r="F167" s="300">
        <f>'[1]Nota II.1.6'!F305</f>
        <v>50000</v>
      </c>
      <c r="G167" s="300">
        <f>'[1]Nota II.1.6'!G305</f>
        <v>0</v>
      </c>
      <c r="H167" s="300"/>
      <c r="I167" s="300"/>
      <c r="J167" s="301"/>
    </row>
    <row r="168" spans="1:10" ht="15" customHeight="1" x14ac:dyDescent="0.2">
      <c r="A168" s="302" t="s">
        <v>262</v>
      </c>
      <c r="B168" s="303"/>
      <c r="C168" s="299">
        <f>'[1]Nota II.1.6'!C306</f>
        <v>16000</v>
      </c>
      <c r="D168" s="300">
        <f>'[1]Nota II.1.6'!D306</f>
        <v>40.22</v>
      </c>
      <c r="E168" s="300">
        <f>'[1]Nota II.1.6'!E306</f>
        <v>16000000</v>
      </c>
      <c r="F168" s="300">
        <f>'[1]Nota II.1.6'!F306</f>
        <v>7786850.9199999999</v>
      </c>
      <c r="G168" s="300">
        <f>'[1]Nota II.1.6'!G306</f>
        <v>8213149.0800000001</v>
      </c>
      <c r="H168" s="300">
        <f>'[1]Nota II.1.6'!H306</f>
        <v>-1748026.29</v>
      </c>
      <c r="I168" s="300">
        <f>'[1]Nota II.1.6'!I306</f>
        <v>20421481.870000001</v>
      </c>
      <c r="J168" s="301"/>
    </row>
    <row r="169" spans="1:10" ht="15" customHeight="1" thickBot="1" x14ac:dyDescent="0.25">
      <c r="A169" s="304" t="s">
        <v>263</v>
      </c>
      <c r="B169" s="305"/>
      <c r="C169" s="299">
        <f>'[1]Nota II.1.6'!C307</f>
        <v>2795</v>
      </c>
      <c r="D169" s="300">
        <f>'[1]Nota II.1.6'!D307</f>
        <v>0</v>
      </c>
      <c r="E169" s="300">
        <f>'[1]Nota II.1.6'!E307</f>
        <v>120241.86</v>
      </c>
      <c r="F169" s="300">
        <f>'[1]Nota II.1.6'!F307</f>
        <v>-79797.11</v>
      </c>
      <c r="G169" s="300">
        <f>'[1]Nota II.1.6'!G307</f>
        <v>200038.97</v>
      </c>
      <c r="H169" s="300"/>
      <c r="I169" s="300"/>
      <c r="J169" s="301"/>
    </row>
    <row r="170" spans="1:10" ht="15.75" customHeight="1" thickBot="1" x14ac:dyDescent="0.3">
      <c r="A170" s="306" t="s">
        <v>264</v>
      </c>
      <c r="B170" s="307"/>
      <c r="C170" s="308"/>
      <c r="D170" s="308"/>
      <c r="E170" s="308">
        <f>SUM(E144:E169)</f>
        <v>5603148191.8599997</v>
      </c>
      <c r="F170" s="308">
        <f>SUM(F144:F169)</f>
        <v>46003178.730000004</v>
      </c>
      <c r="G170" s="308">
        <f>SUM(G144:G169)</f>
        <v>5557145013.1300011</v>
      </c>
      <c r="H170" s="308">
        <f>SUM(H144:H169)</f>
        <v>-76364003.760000005</v>
      </c>
      <c r="I170" s="308">
        <f>SUM(I144:I169)</f>
        <v>8965920837.1800003</v>
      </c>
    </row>
    <row r="171" spans="1:10" x14ac:dyDescent="0.25">
      <c r="A171" s="283"/>
      <c r="B171" s="284"/>
      <c r="C171" s="284"/>
      <c r="D171" s="284"/>
      <c r="E171" s="284"/>
      <c r="F171" s="284"/>
      <c r="G171" s="284"/>
      <c r="H171" s="284"/>
      <c r="I171" s="284"/>
    </row>
    <row r="172" spans="1:10" x14ac:dyDescent="0.25">
      <c r="A172" s="309"/>
      <c r="B172" s="131"/>
      <c r="C172" s="131"/>
      <c r="D172" s="131"/>
      <c r="E172" s="131"/>
      <c r="F172" s="131"/>
      <c r="G172" s="131"/>
      <c r="H172" s="131"/>
      <c r="I172" s="131"/>
    </row>
    <row r="173" spans="1:10" x14ac:dyDescent="0.25">
      <c r="A173" s="283" t="s">
        <v>265</v>
      </c>
      <c r="B173" s="284"/>
      <c r="C173" s="284"/>
      <c r="D173" s="284"/>
      <c r="E173" s="284"/>
      <c r="F173" s="284"/>
      <c r="G173" s="284"/>
      <c r="H173" s="284"/>
      <c r="I173" s="284"/>
    </row>
    <row r="174" spans="1:10" ht="8.4499999999999993" customHeight="1" thickBot="1" x14ac:dyDescent="0.3">
      <c r="A174" s="283"/>
      <c r="B174" s="284"/>
      <c r="C174" s="284"/>
      <c r="D174" s="284"/>
      <c r="E174" s="284"/>
      <c r="F174" s="284"/>
      <c r="G174" s="284"/>
      <c r="H174" s="284"/>
      <c r="I174" s="284"/>
    </row>
    <row r="175" spans="1:10" ht="87.75" customHeight="1" thickBot="1" x14ac:dyDescent="0.3">
      <c r="A175" s="287" t="s">
        <v>230</v>
      </c>
      <c r="B175" s="310"/>
      <c r="C175" s="289" t="s">
        <v>231</v>
      </c>
      <c r="D175" s="290" t="s">
        <v>232</v>
      </c>
      <c r="E175" s="289" t="s">
        <v>233</v>
      </c>
      <c r="F175" s="291" t="s">
        <v>234</v>
      </c>
      <c r="G175" s="289" t="s">
        <v>235</v>
      </c>
      <c r="H175" s="289" t="s">
        <v>266</v>
      </c>
      <c r="I175" s="292" t="s">
        <v>267</v>
      </c>
      <c r="J175" s="311"/>
    </row>
    <row r="176" spans="1:10" x14ac:dyDescent="0.25">
      <c r="A176" s="293" t="s">
        <v>7</v>
      </c>
      <c r="B176" s="294"/>
      <c r="C176" s="295"/>
      <c r="D176" s="295"/>
      <c r="E176" s="295"/>
      <c r="F176" s="295"/>
      <c r="G176" s="295"/>
      <c r="H176" s="295"/>
      <c r="I176" s="296"/>
      <c r="J176" s="311"/>
    </row>
    <row r="177" spans="1:10" x14ac:dyDescent="0.2">
      <c r="A177" s="312" t="s">
        <v>238</v>
      </c>
      <c r="B177" s="313"/>
      <c r="C177" s="314">
        <f>'[1]Nota II.1.6'!C314</f>
        <v>10406</v>
      </c>
      <c r="D177" s="315">
        <f>'[1]Nota II.1.6'!D314</f>
        <v>100</v>
      </c>
      <c r="E177" s="315">
        <f>'[1]Nota II.1.6'!E314</f>
        <v>520300</v>
      </c>
      <c r="F177" s="315">
        <f>'[1]Nota II.1.6'!F314</f>
        <v>0</v>
      </c>
      <c r="G177" s="315">
        <f>'[1]Nota II.1.6'!G314</f>
        <v>520300</v>
      </c>
      <c r="H177" s="315">
        <f>'[1]Nota II.1.6'!H314</f>
        <v>1771.38</v>
      </c>
      <c r="I177" s="315">
        <f>'[1]Nota II.1.6'!I314</f>
        <v>1954315.97</v>
      </c>
      <c r="J177" s="301"/>
    </row>
    <row r="178" spans="1:10" ht="26.25" customHeight="1" x14ac:dyDescent="0.2">
      <c r="A178" s="265" t="s">
        <v>240</v>
      </c>
      <c r="B178" s="316"/>
      <c r="C178" s="314">
        <f>'[1]Nota II.1.6'!C316</f>
        <v>585616</v>
      </c>
      <c r="D178" s="315">
        <f>'[1]Nota II.1.6'!D316</f>
        <v>100</v>
      </c>
      <c r="E178" s="315">
        <f>'[1]Nota II.1.6'!E316</f>
        <v>292808000</v>
      </c>
      <c r="F178" s="315">
        <f>'[1]Nota II.1.6'!F316</f>
        <v>0</v>
      </c>
      <c r="G178" s="315">
        <f>'[1]Nota II.1.6'!G316</f>
        <v>292808000</v>
      </c>
      <c r="H178" s="315">
        <f>'[1]Nota II.1.6'!H316</f>
        <v>-5727414.1299999999</v>
      </c>
      <c r="I178" s="315">
        <f>'[1]Nota II.1.6'!I316</f>
        <v>769639444.84000003</v>
      </c>
      <c r="J178" s="301"/>
    </row>
    <row r="179" spans="1:10" ht="15" customHeight="1" x14ac:dyDescent="0.2">
      <c r="A179" s="265" t="s">
        <v>241</v>
      </c>
      <c r="B179" s="316"/>
      <c r="C179" s="314">
        <f>'[1]Nota II.1.6'!C317</f>
        <v>210982</v>
      </c>
      <c r="D179" s="315">
        <f>'[1]Nota II.1.6'!D317</f>
        <v>100</v>
      </c>
      <c r="E179" s="315">
        <f>'[1]Nota II.1.6'!E317</f>
        <v>105491000</v>
      </c>
      <c r="F179" s="315">
        <f>'[1]Nota II.1.6'!F317</f>
        <v>0</v>
      </c>
      <c r="G179" s="315">
        <f>'[1]Nota II.1.6'!G317</f>
        <v>105491000</v>
      </c>
      <c r="H179" s="315">
        <f>'[1]Nota II.1.6'!H317</f>
        <v>14216621.060000001</v>
      </c>
      <c r="I179" s="315">
        <f>'[1]Nota II.1.6'!I317</f>
        <v>187137098.22</v>
      </c>
      <c r="J179" s="301"/>
    </row>
    <row r="180" spans="1:10" ht="15" customHeight="1" x14ac:dyDescent="0.2">
      <c r="A180" s="265" t="s">
        <v>239</v>
      </c>
      <c r="B180" s="316"/>
      <c r="C180" s="314">
        <f>'[1]Nota II.1.6'!C315</f>
        <v>657835</v>
      </c>
      <c r="D180" s="315">
        <f>'[1]Nota II.1.6'!D315</f>
        <v>100</v>
      </c>
      <c r="E180" s="315">
        <f>'[1]Nota II.1.6'!E315</f>
        <v>328917500</v>
      </c>
      <c r="F180" s="315">
        <f>'[1]Nota II.1.6'!F315</f>
        <v>0</v>
      </c>
      <c r="G180" s="315">
        <f>'[1]Nota II.1.6'!G315</f>
        <v>328917500</v>
      </c>
      <c r="H180" s="315">
        <f>'[1]Nota II.1.6'!H315</f>
        <v>2948882.87</v>
      </c>
      <c r="I180" s="315">
        <f>'[1]Nota II.1.6'!I315</f>
        <v>656215983.86000001</v>
      </c>
      <c r="J180" s="301"/>
    </row>
    <row r="181" spans="1:10" ht="15" customHeight="1" x14ac:dyDescent="0.2">
      <c r="A181" s="265" t="s">
        <v>242</v>
      </c>
      <c r="B181" s="316"/>
      <c r="C181" s="314">
        <f>'[1]Nota II.1.6'!C337</f>
        <v>4600</v>
      </c>
      <c r="D181" s="315">
        <f>'[1]Nota II.1.6'!D337</f>
        <v>100</v>
      </c>
      <c r="E181" s="315">
        <f>'[1]Nota II.1.6'!E337</f>
        <v>2300000</v>
      </c>
      <c r="F181" s="315">
        <f>'[1]Nota II.1.6'!F337</f>
        <v>0</v>
      </c>
      <c r="G181" s="315">
        <f>'[1]Nota II.1.6'!G337</f>
        <v>2300000</v>
      </c>
      <c r="H181" s="315">
        <f>'[1]Nota II.1.6'!H337</f>
        <v>763015.44</v>
      </c>
      <c r="I181" s="315">
        <f>'[1]Nota II.1.6'!I337</f>
        <v>5811801.6299999999</v>
      </c>
      <c r="J181" s="301"/>
    </row>
    <row r="182" spans="1:10" ht="27.75" customHeight="1" x14ac:dyDescent="0.2">
      <c r="A182" s="265" t="s">
        <v>268</v>
      </c>
      <c r="B182" s="316"/>
      <c r="C182" s="314">
        <f>'[1]Nota II.1.6'!C319</f>
        <v>27345751</v>
      </c>
      <c r="D182" s="315">
        <f>'[1]Nota II.1.6'!D319</f>
        <v>100</v>
      </c>
      <c r="E182" s="315">
        <f>'[1]Nota II.1.6'!E319</f>
        <v>2734575100</v>
      </c>
      <c r="F182" s="315">
        <f>'[1]Nota II.1.6'!F319</f>
        <v>0</v>
      </c>
      <c r="G182" s="315">
        <f>'[1]Nota II.1.6'!G319</f>
        <v>2734575100</v>
      </c>
      <c r="H182" s="315">
        <f>'[1]Nota II.1.6'!H319</f>
        <v>34375256.380000003</v>
      </c>
      <c r="I182" s="315">
        <f>'[1]Nota II.1.6'!I319</f>
        <v>4660402370.1300001</v>
      </c>
      <c r="J182" s="301"/>
    </row>
    <row r="183" spans="1:10" ht="15" customHeight="1" x14ac:dyDescent="0.2">
      <c r="A183" s="265" t="s">
        <v>244</v>
      </c>
      <c r="B183" s="316"/>
      <c r="C183" s="314">
        <f>'[1]Nota II.1.6'!C320</f>
        <v>933516</v>
      </c>
      <c r="D183" s="315">
        <f>'[1]Nota II.1.6'!D320</f>
        <v>100</v>
      </c>
      <c r="E183" s="315">
        <f>'[1]Nota II.1.6'!E320</f>
        <v>466758000</v>
      </c>
      <c r="F183" s="315">
        <f>'[1]Nota II.1.6'!F320</f>
        <v>0</v>
      </c>
      <c r="G183" s="315">
        <f>'[1]Nota II.1.6'!G320</f>
        <v>466758000</v>
      </c>
      <c r="H183" s="315">
        <f>'[1]Nota II.1.6'!H320</f>
        <v>-29943434.850000001</v>
      </c>
      <c r="I183" s="315">
        <f>'[1]Nota II.1.6'!I320</f>
        <v>659497125.32000005</v>
      </c>
      <c r="J183" s="301"/>
    </row>
    <row r="184" spans="1:10" ht="26.25" customHeight="1" x14ac:dyDescent="0.2">
      <c r="A184" s="265" t="s">
        <v>245</v>
      </c>
      <c r="B184" s="316"/>
      <c r="C184" s="314">
        <f>'[1]Nota II.1.6'!C321</f>
        <v>10000</v>
      </c>
      <c r="D184" s="315">
        <f>'[1]Nota II.1.6'!D321</f>
        <v>100</v>
      </c>
      <c r="E184" s="315">
        <f>'[1]Nota II.1.6'!E321</f>
        <v>5000000</v>
      </c>
      <c r="F184" s="315">
        <f>'[1]Nota II.1.6'!F321</f>
        <v>0</v>
      </c>
      <c r="G184" s="315">
        <f>'[1]Nota II.1.6'!G321</f>
        <v>5000000</v>
      </c>
      <c r="H184" s="315">
        <f>'[1]Nota II.1.6'!H321</f>
        <v>2271118.56</v>
      </c>
      <c r="I184" s="315">
        <f>'[1]Nota II.1.6'!I321</f>
        <v>20887315.949999999</v>
      </c>
      <c r="J184" s="301"/>
    </row>
    <row r="185" spans="1:10" ht="15" customHeight="1" x14ac:dyDescent="0.2">
      <c r="A185" s="265" t="s">
        <v>246</v>
      </c>
      <c r="B185" s="316"/>
      <c r="C185" s="314">
        <f>'[1]Nota II.1.6'!C322</f>
        <v>24601</v>
      </c>
      <c r="D185" s="315">
        <f>'[1]Nota II.1.6'!D322</f>
        <v>100</v>
      </c>
      <c r="E185" s="315">
        <f>'[1]Nota II.1.6'!E322</f>
        <v>1230050</v>
      </c>
      <c r="F185" s="315">
        <f>'[1]Nota II.1.6'!F322</f>
        <v>0</v>
      </c>
      <c r="G185" s="315">
        <f>'[1]Nota II.1.6'!G322</f>
        <v>1230050</v>
      </c>
      <c r="H185" s="315">
        <f>'[1]Nota II.1.6'!H322</f>
        <v>755535.97</v>
      </c>
      <c r="I185" s="315">
        <f>'[1]Nota II.1.6'!I322</f>
        <v>7146368.5800000001</v>
      </c>
      <c r="J185" s="301"/>
    </row>
    <row r="186" spans="1:10" ht="15" customHeight="1" x14ac:dyDescent="0.2">
      <c r="A186" s="265" t="s">
        <v>247</v>
      </c>
      <c r="B186" s="316"/>
      <c r="C186" s="314">
        <f>'[1]Nota II.1.6'!C323</f>
        <v>80500</v>
      </c>
      <c r="D186" s="315">
        <f>'[1]Nota II.1.6'!D323</f>
        <v>100</v>
      </c>
      <c r="E186" s="315">
        <f>'[1]Nota II.1.6'!E323</f>
        <v>80500000</v>
      </c>
      <c r="F186" s="315">
        <f>'[1]Nota II.1.6'!F323</f>
        <v>0</v>
      </c>
      <c r="G186" s="315">
        <f>'[1]Nota II.1.6'!G323</f>
        <v>80500000</v>
      </c>
      <c r="H186" s="315">
        <f>'[1]Nota II.1.6'!H323</f>
        <v>3191277.28</v>
      </c>
      <c r="I186" s="315">
        <f>'[1]Nota II.1.6'!I323</f>
        <v>116749160.17</v>
      </c>
      <c r="J186" s="301"/>
    </row>
    <row r="187" spans="1:10" ht="15" customHeight="1" x14ac:dyDescent="0.2">
      <c r="A187" s="265" t="s">
        <v>248</v>
      </c>
      <c r="B187" s="316"/>
      <c r="C187" s="314">
        <f>'[1]Nota II.1.6'!C324</f>
        <v>153058</v>
      </c>
      <c r="D187" s="315">
        <f>'[1]Nota II.1.6'!D324</f>
        <v>100</v>
      </c>
      <c r="E187" s="315">
        <f>'[1]Nota II.1.6'!E324</f>
        <v>153058000</v>
      </c>
      <c r="F187" s="315">
        <f>'[1]Nota II.1.6'!F324</f>
        <v>0</v>
      </c>
      <c r="G187" s="315">
        <f>'[1]Nota II.1.6'!G324</f>
        <v>153058000</v>
      </c>
      <c r="H187" s="315">
        <f>'[1]Nota II.1.6'!H324</f>
        <v>6296618.0300000003</v>
      </c>
      <c r="I187" s="315">
        <f>'[1]Nota II.1.6'!I324</f>
        <v>215306468.47999999</v>
      </c>
      <c r="J187" s="301"/>
    </row>
    <row r="188" spans="1:10" ht="15" customHeight="1" x14ac:dyDescent="0.2">
      <c r="A188" s="265" t="s">
        <v>249</v>
      </c>
      <c r="B188" s="316"/>
      <c r="C188" s="314">
        <f>'[1]Nota II.1.6'!C325</f>
        <v>143379</v>
      </c>
      <c r="D188" s="315">
        <f>'[1]Nota II.1.6'!D325</f>
        <v>100</v>
      </c>
      <c r="E188" s="315">
        <f>'[1]Nota II.1.6'!E325</f>
        <v>143379000</v>
      </c>
      <c r="F188" s="315">
        <f>'[1]Nota II.1.6'!F325</f>
        <v>0</v>
      </c>
      <c r="G188" s="315">
        <f>'[1]Nota II.1.6'!G325</f>
        <v>143379000</v>
      </c>
      <c r="H188" s="315">
        <f>'[1]Nota II.1.6'!H325</f>
        <v>3627836.66</v>
      </c>
      <c r="I188" s="315">
        <f>'[1]Nota II.1.6'!I325</f>
        <v>157644614.22</v>
      </c>
      <c r="J188" s="301"/>
    </row>
    <row r="189" spans="1:10" ht="15" customHeight="1" x14ac:dyDescent="0.2">
      <c r="A189" s="265" t="s">
        <v>250</v>
      </c>
      <c r="B189" s="316"/>
      <c r="C189" s="314">
        <f>'[1]Nota II.1.6'!C326</f>
        <v>1134550</v>
      </c>
      <c r="D189" s="315">
        <f>'[1]Nota II.1.6'!D326</f>
        <v>100</v>
      </c>
      <c r="E189" s="315">
        <f>'[1]Nota II.1.6'!E326</f>
        <v>567275000</v>
      </c>
      <c r="F189" s="315">
        <f>'[1]Nota II.1.6'!F326</f>
        <v>0</v>
      </c>
      <c r="G189" s="315">
        <f>'[1]Nota II.1.6'!G326</f>
        <v>567275000</v>
      </c>
      <c r="H189" s="315">
        <f>'[1]Nota II.1.6'!H326</f>
        <v>43503674.32</v>
      </c>
      <c r="I189" s="315">
        <f>'[1]Nota II.1.6'!I326</f>
        <v>1153172162.1099999</v>
      </c>
      <c r="J189" s="301"/>
    </row>
    <row r="190" spans="1:10" ht="15" customHeight="1" x14ac:dyDescent="0.2">
      <c r="A190" s="265" t="s">
        <v>251</v>
      </c>
      <c r="B190" s="316"/>
      <c r="C190" s="314">
        <f>'[1]Nota II.1.6'!C327</f>
        <v>6600</v>
      </c>
      <c r="D190" s="315">
        <f>'[1]Nota II.1.6'!D327</f>
        <v>100</v>
      </c>
      <c r="E190" s="315">
        <f>'[1]Nota II.1.6'!E327</f>
        <v>3300000</v>
      </c>
      <c r="F190" s="315">
        <f>'[1]Nota II.1.6'!F327</f>
        <v>0</v>
      </c>
      <c r="G190" s="315">
        <f>'[1]Nota II.1.6'!G327</f>
        <v>3300000</v>
      </c>
      <c r="H190" s="315">
        <f>'[1]Nota II.1.6'!H327</f>
        <v>99753.08</v>
      </c>
      <c r="I190" s="315">
        <f>'[1]Nota II.1.6'!I327</f>
        <v>4863823.1100000003</v>
      </c>
      <c r="J190" s="301"/>
    </row>
    <row r="191" spans="1:10" ht="15" customHeight="1" x14ac:dyDescent="0.2">
      <c r="A191" s="265" t="s">
        <v>252</v>
      </c>
      <c r="B191" s="316"/>
      <c r="C191" s="314">
        <f>'[1]Nota II.1.6'!C328</f>
        <v>1000</v>
      </c>
      <c r="D191" s="315">
        <f>'[1]Nota II.1.6'!D328</f>
        <v>100</v>
      </c>
      <c r="E191" s="315">
        <f>'[1]Nota II.1.6'!E328</f>
        <v>1000000</v>
      </c>
      <c r="F191" s="315">
        <f>'[1]Nota II.1.6'!F328</f>
        <v>0</v>
      </c>
      <c r="G191" s="315">
        <f>'[1]Nota II.1.6'!G328</f>
        <v>1000000</v>
      </c>
      <c r="H191" s="315">
        <f>'[1]Nota II.1.6'!H328</f>
        <v>182354</v>
      </c>
      <c r="I191" s="315">
        <f>'[1]Nota II.1.6'!I328</f>
        <v>18571531.809999999</v>
      </c>
      <c r="J191" s="301"/>
    </row>
    <row r="192" spans="1:10" ht="15" customHeight="1" x14ac:dyDescent="0.2">
      <c r="A192" s="265" t="s">
        <v>253</v>
      </c>
      <c r="B192" s="316"/>
      <c r="C192" s="314">
        <f>'[1]Nota II.1.6'!C329</f>
        <v>23414</v>
      </c>
      <c r="D192" s="315">
        <f>'[1]Nota II.1.6'!D329</f>
        <v>100</v>
      </c>
      <c r="E192" s="315">
        <f>'[1]Nota II.1.6'!E329</f>
        <v>23414000</v>
      </c>
      <c r="F192" s="315">
        <f>'[1]Nota II.1.6'!F329</f>
        <v>0</v>
      </c>
      <c r="G192" s="315">
        <f>'[1]Nota II.1.6'!G329</f>
        <v>23414000</v>
      </c>
      <c r="H192" s="315">
        <f>'[1]Nota II.1.6'!H329</f>
        <v>-3986621.68</v>
      </c>
      <c r="I192" s="315">
        <f>'[1]Nota II.1.6'!I329</f>
        <v>29450018.789999999</v>
      </c>
      <c r="J192" s="301"/>
    </row>
    <row r="193" spans="1:10" ht="15" customHeight="1" x14ac:dyDescent="0.2">
      <c r="A193" s="265" t="s">
        <v>254</v>
      </c>
      <c r="B193" s="316"/>
      <c r="C193" s="314">
        <f>'[1]Nota II.1.6'!C330</f>
        <v>62965</v>
      </c>
      <c r="D193" s="315">
        <f>'[1]Nota II.1.6'!D330</f>
        <v>100</v>
      </c>
      <c r="E193" s="315">
        <f>'[1]Nota II.1.6'!E330</f>
        <v>62965000</v>
      </c>
      <c r="F193" s="315">
        <f>'[1]Nota II.1.6'!F330</f>
        <v>0</v>
      </c>
      <c r="G193" s="315">
        <f>'[1]Nota II.1.6'!G330</f>
        <v>62965000</v>
      </c>
      <c r="H193" s="315">
        <f>'[1]Nota II.1.6'!H330</f>
        <v>-55712.02</v>
      </c>
      <c r="I193" s="315">
        <f>'[1]Nota II.1.6'!I330</f>
        <v>63317426.700000003</v>
      </c>
      <c r="J193" s="301"/>
    </row>
    <row r="194" spans="1:10" ht="15" customHeight="1" x14ac:dyDescent="0.2">
      <c r="A194" s="265" t="s">
        <v>255</v>
      </c>
      <c r="B194" s="316"/>
      <c r="C194" s="314">
        <f>'[1]Nota II.1.6'!C338</f>
        <v>19355</v>
      </c>
      <c r="D194" s="315">
        <f>'[1]Nota II.1.6'!D338</f>
        <v>100</v>
      </c>
      <c r="E194" s="315">
        <f>'[1]Nota II.1.6'!E338</f>
        <v>19355000</v>
      </c>
      <c r="F194" s="315">
        <f>'[1]Nota II.1.6'!F338</f>
        <v>6860755.9000000004</v>
      </c>
      <c r="G194" s="315">
        <f>'[1]Nota II.1.6'!G338</f>
        <v>12494244.1</v>
      </c>
      <c r="H194" s="315">
        <f>'[1]Nota II.1.6'!H338</f>
        <v>-16257819.130000001</v>
      </c>
      <c r="I194" s="315">
        <f>'[1]Nota II.1.6'!I338</f>
        <v>12222797.050000001</v>
      </c>
      <c r="J194" s="301"/>
    </row>
    <row r="195" spans="1:10" ht="15" customHeight="1" x14ac:dyDescent="0.2">
      <c r="A195" s="265" t="s">
        <v>256</v>
      </c>
      <c r="B195" s="316"/>
      <c r="C195" s="314">
        <f>'[1]Nota II.1.6'!C331</f>
        <v>19383</v>
      </c>
      <c r="D195" s="315">
        <f>'[1]Nota II.1.6'!D331</f>
        <v>100</v>
      </c>
      <c r="E195" s="315">
        <f>'[1]Nota II.1.6'!E331</f>
        <v>19383000</v>
      </c>
      <c r="F195" s="315">
        <f>'[1]Nota II.1.6'!F331</f>
        <v>8653319.3800000008</v>
      </c>
      <c r="G195" s="315">
        <f>'[1]Nota II.1.6'!G331</f>
        <v>10729680.619999999</v>
      </c>
      <c r="H195" s="315">
        <f>'[1]Nota II.1.6'!H331</f>
        <v>-11175742.75</v>
      </c>
      <c r="I195" s="315">
        <f>'[1]Nota II.1.6'!I331</f>
        <v>10729680.619999999</v>
      </c>
      <c r="J195" s="301"/>
    </row>
    <row r="196" spans="1:10" ht="15" customHeight="1" x14ac:dyDescent="0.2">
      <c r="A196" s="265" t="s">
        <v>257</v>
      </c>
      <c r="B196" s="316"/>
      <c r="C196" s="314">
        <f>'[1]Nota II.1.6'!C332</f>
        <v>32192</v>
      </c>
      <c r="D196" s="315">
        <f>'[1]Nota II.1.6'!D332</f>
        <v>100</v>
      </c>
      <c r="E196" s="315">
        <f>'[1]Nota II.1.6'!E332</f>
        <v>32192000</v>
      </c>
      <c r="F196" s="315">
        <f>'[1]Nota II.1.6'!F332</f>
        <v>32192000</v>
      </c>
      <c r="G196" s="315">
        <f>'[1]Nota II.1.6'!G332</f>
        <v>0</v>
      </c>
      <c r="H196" s="315">
        <f>'[1]Nota II.1.6'!H332</f>
        <v>-28025570.239999998</v>
      </c>
      <c r="I196" s="315">
        <f>'[1]Nota II.1.6'!I332</f>
        <v>-8282695.7199999997</v>
      </c>
      <c r="J196" s="301"/>
    </row>
    <row r="197" spans="1:10" ht="15" customHeight="1" x14ac:dyDescent="0.2">
      <c r="A197" s="265" t="s">
        <v>258</v>
      </c>
      <c r="B197" s="316"/>
      <c r="C197" s="314">
        <f>'[1]Nota II.1.6'!C333</f>
        <v>20111</v>
      </c>
      <c r="D197" s="315">
        <f>'[1]Nota II.1.6'!D333</f>
        <v>100</v>
      </c>
      <c r="E197" s="315">
        <f>'[1]Nota II.1.6'!E333</f>
        <v>20111000</v>
      </c>
      <c r="F197" s="315">
        <f>'[1]Nota II.1.6'!F333</f>
        <v>1014663.13</v>
      </c>
      <c r="G197" s="315">
        <f>'[1]Nota II.1.6'!G333</f>
        <v>19096336.870000001</v>
      </c>
      <c r="H197" s="315">
        <f>'[1]Nota II.1.6'!H333</f>
        <v>154822.39000000001</v>
      </c>
      <c r="I197" s="315">
        <f>'[1]Nota II.1.6'!I333</f>
        <v>19096336.870000001</v>
      </c>
      <c r="J197" s="301"/>
    </row>
    <row r="198" spans="1:10" ht="15" customHeight="1" x14ac:dyDescent="0.2">
      <c r="A198" s="265" t="s">
        <v>261</v>
      </c>
      <c r="B198" s="316"/>
      <c r="C198" s="314">
        <f>'[1]Nota II.1.6'!C334</f>
        <v>100</v>
      </c>
      <c r="D198" s="315">
        <f>'[1]Nota II.1.6'!D334</f>
        <v>100</v>
      </c>
      <c r="E198" s="315">
        <f>'[1]Nota II.1.6'!E334</f>
        <v>50000</v>
      </c>
      <c r="F198" s="315">
        <f>'[1]Nota II.1.6'!F334</f>
        <v>50000</v>
      </c>
      <c r="G198" s="315">
        <f>'[1]Nota II.1.6'!G334</f>
        <v>0</v>
      </c>
      <c r="H198" s="315"/>
      <c r="I198" s="315"/>
      <c r="J198" s="301"/>
    </row>
    <row r="199" spans="1:10" ht="15" customHeight="1" x14ac:dyDescent="0.2">
      <c r="A199" s="265" t="s">
        <v>262</v>
      </c>
      <c r="B199" s="316"/>
      <c r="C199" s="314">
        <f>'[1]Nota II.1.6'!C335</f>
        <v>16000</v>
      </c>
      <c r="D199" s="315">
        <f>'[1]Nota II.1.6'!D335</f>
        <v>40.22</v>
      </c>
      <c r="E199" s="315">
        <f>'[1]Nota II.1.6'!E335</f>
        <v>16000000</v>
      </c>
      <c r="F199" s="315">
        <f>'[1]Nota II.1.6'!F335</f>
        <v>7083826.4900000002</v>
      </c>
      <c r="G199" s="315">
        <f>'[1]Nota II.1.6'!G335</f>
        <v>8916173.5099999998</v>
      </c>
      <c r="H199" s="315">
        <f>'[1]Nota II.1.6'!H335</f>
        <v>-4239087.17</v>
      </c>
      <c r="I199" s="315">
        <f>'[1]Nota II.1.6'!I335</f>
        <v>22169508.16</v>
      </c>
      <c r="J199" s="301"/>
    </row>
    <row r="200" spans="1:10" ht="15" customHeight="1" thickBot="1" x14ac:dyDescent="0.25">
      <c r="A200" s="304" t="s">
        <v>263</v>
      </c>
      <c r="B200" s="305"/>
      <c r="C200" s="314">
        <f>'[1]Nota II.1.6'!C336</f>
        <v>16862</v>
      </c>
      <c r="D200" s="315">
        <f>'[1]Nota II.1.6'!D336</f>
        <v>0</v>
      </c>
      <c r="E200" s="315">
        <f>'[1]Nota II.1.6'!E336</f>
        <v>195296.65</v>
      </c>
      <c r="F200" s="315">
        <f>'[1]Nota II.1.6'!F336</f>
        <v>-13138.4</v>
      </c>
      <c r="G200" s="315">
        <f>'[1]Nota II.1.6'!G336</f>
        <v>208435.05</v>
      </c>
      <c r="H200" s="315"/>
      <c r="I200" s="315"/>
      <c r="J200" s="301"/>
    </row>
    <row r="201" spans="1:10" ht="13.5" thickBot="1" x14ac:dyDescent="0.3">
      <c r="A201" s="306" t="s">
        <v>264</v>
      </c>
      <c r="B201" s="307"/>
      <c r="C201" s="308"/>
      <c r="D201" s="317"/>
      <c r="E201" s="308">
        <f>SUM(E177:E200)</f>
        <v>5079777246.6499996</v>
      </c>
      <c r="F201" s="308">
        <f>SUM(F177:F200)</f>
        <v>55841426.500000007</v>
      </c>
      <c r="G201" s="308">
        <f>SUM(G177:G200)</f>
        <v>5023935820.1500006</v>
      </c>
      <c r="H201" s="308">
        <f>SUM(H177:H200)</f>
        <v>12977135.449999994</v>
      </c>
      <c r="I201" s="308">
        <f>SUM(I177:I200)</f>
        <v>8783702656.8700027</v>
      </c>
    </row>
    <row r="206" spans="1:10" x14ac:dyDescent="0.25">
      <c r="A206" s="318" t="s">
        <v>269</v>
      </c>
      <c r="B206" s="319"/>
      <c r="C206" s="319"/>
      <c r="D206" s="319"/>
      <c r="E206" s="319"/>
      <c r="F206" s="319"/>
      <c r="G206" s="319"/>
      <c r="H206" s="319"/>
      <c r="I206" s="319"/>
    </row>
    <row r="207" spans="1:10" ht="13.5" thickBot="1" x14ac:dyDescent="0.3">
      <c r="A207" s="320"/>
      <c r="B207" s="320"/>
      <c r="C207" s="320"/>
      <c r="D207" s="320"/>
      <c r="E207" s="320"/>
      <c r="F207" s="320"/>
      <c r="G207" s="320"/>
      <c r="H207" s="320"/>
      <c r="I207" s="320"/>
    </row>
    <row r="208" spans="1:10" ht="13.5" thickBot="1" x14ac:dyDescent="0.3">
      <c r="A208" s="321" t="s">
        <v>270</v>
      </c>
      <c r="B208" s="322"/>
      <c r="C208" s="322"/>
      <c r="D208" s="323"/>
      <c r="E208" s="324" t="s">
        <v>7</v>
      </c>
      <c r="F208" s="325" t="s">
        <v>271</v>
      </c>
      <c r="G208" s="326"/>
      <c r="H208" s="327"/>
      <c r="I208" s="328" t="s">
        <v>8</v>
      </c>
    </row>
    <row r="209" spans="1:9" ht="13.5" thickBot="1" x14ac:dyDescent="0.3">
      <c r="A209" s="329"/>
      <c r="B209" s="330"/>
      <c r="C209" s="330"/>
      <c r="D209" s="331"/>
      <c r="E209" s="332"/>
      <c r="F209" s="333" t="s">
        <v>184</v>
      </c>
      <c r="G209" s="334" t="s">
        <v>272</v>
      </c>
      <c r="H209" s="335" t="s">
        <v>273</v>
      </c>
      <c r="I209" s="336"/>
    </row>
    <row r="210" spans="1:9" x14ac:dyDescent="0.25">
      <c r="A210" s="337">
        <v>1</v>
      </c>
      <c r="B210" s="338" t="s">
        <v>214</v>
      </c>
      <c r="C210" s="339"/>
      <c r="D210" s="340"/>
      <c r="E210" s="341">
        <f>'[1]Nota II.1.7.'!C25</f>
        <v>0</v>
      </c>
      <c r="F210" s="341">
        <f>'[1]Nota II.1.7.'!D25</f>
        <v>0</v>
      </c>
      <c r="G210" s="341">
        <f>'[1]Nota II.1.7.'!E25</f>
        <v>0</v>
      </c>
      <c r="H210" s="341">
        <f>'[1]Nota II.1.7.'!F25</f>
        <v>0</v>
      </c>
      <c r="I210" s="342">
        <f>E210+F210-G210-H210</f>
        <v>0</v>
      </c>
    </row>
    <row r="211" spans="1:9" x14ac:dyDescent="0.25">
      <c r="A211" s="343"/>
      <c r="B211" s="344" t="s">
        <v>274</v>
      </c>
      <c r="C211" s="345"/>
      <c r="D211" s="346"/>
      <c r="E211" s="347">
        <f>'[1]Nota II.1.7.'!C26</f>
        <v>0</v>
      </c>
      <c r="F211" s="347">
        <f>'[1]Nota II.1.7.'!D26</f>
        <v>0</v>
      </c>
      <c r="G211" s="347">
        <f>'[1]Nota II.1.7.'!E26</f>
        <v>0</v>
      </c>
      <c r="H211" s="347">
        <f>'[1]Nota II.1.7.'!F26</f>
        <v>0</v>
      </c>
      <c r="I211" s="348">
        <f>E211+F211-G211-H211</f>
        <v>0</v>
      </c>
    </row>
    <row r="212" spans="1:9" x14ac:dyDescent="0.25">
      <c r="A212" s="349" t="s">
        <v>275</v>
      </c>
      <c r="B212" s="350" t="s">
        <v>276</v>
      </c>
      <c r="C212" s="351"/>
      <c r="D212" s="352"/>
      <c r="E212" s="353">
        <f>'[1]Nota II.1.7.'!C27</f>
        <v>1408822326.52</v>
      </c>
      <c r="F212" s="353">
        <f>'[1]Nota II.1.7.'!D27</f>
        <v>879862134.47000003</v>
      </c>
      <c r="G212" s="353">
        <f>'[1]Nota II.1.7.'!E27</f>
        <v>27347758.079999998</v>
      </c>
      <c r="H212" s="353">
        <f>'[1]Nota II.1.7.'!F27</f>
        <v>746618896.41999996</v>
      </c>
      <c r="I212" s="348">
        <f>E212+F212-G212-H212</f>
        <v>1514717806.4899998</v>
      </c>
    </row>
    <row r="213" spans="1:9" x14ac:dyDescent="0.25">
      <c r="A213" s="349"/>
      <c r="B213" s="344" t="s">
        <v>274</v>
      </c>
      <c r="C213" s="345"/>
      <c r="D213" s="346"/>
      <c r="E213" s="353">
        <f>'[1]Nota II.1.7.'!C28</f>
        <v>0</v>
      </c>
      <c r="F213" s="353">
        <f>'[1]Nota II.1.7.'!D28</f>
        <v>0</v>
      </c>
      <c r="G213" s="353">
        <f>'[1]Nota II.1.7.'!E28</f>
        <v>0</v>
      </c>
      <c r="H213" s="353">
        <f>'[1]Nota II.1.7.'!F28</f>
        <v>0</v>
      </c>
      <c r="I213" s="348">
        <f>E213+F213-G213-H213</f>
        <v>0</v>
      </c>
    </row>
    <row r="214" spans="1:9" ht="13.5" thickBot="1" x14ac:dyDescent="0.3">
      <c r="A214" s="354" t="s">
        <v>277</v>
      </c>
      <c r="B214" s="350" t="s">
        <v>278</v>
      </c>
      <c r="C214" s="351"/>
      <c r="D214" s="352"/>
      <c r="E214" s="347">
        <f>'[1]Nota II.1.7.'!C29</f>
        <v>455179558.82999998</v>
      </c>
      <c r="F214" s="347">
        <f>'[1]Nota II.1.7.'!D29</f>
        <v>433368127.80000001</v>
      </c>
      <c r="G214" s="347">
        <f>'[1]Nota II.1.7.'!E29</f>
        <v>2109554.09</v>
      </c>
      <c r="H214" s="347">
        <f>'[1]Nota II.1.7.'!F29</f>
        <v>397274429.25999999</v>
      </c>
      <c r="I214" s="355">
        <f>E214+F214-G214-H214</f>
        <v>489163703.27999997</v>
      </c>
    </row>
    <row r="215" spans="1:9" ht="13.5" thickBot="1" x14ac:dyDescent="0.3">
      <c r="A215" s="356" t="s">
        <v>264</v>
      </c>
      <c r="B215" s="357"/>
      <c r="C215" s="357"/>
      <c r="D215" s="358"/>
      <c r="E215" s="359">
        <f>E210+E212+E214</f>
        <v>1864001885.3499999</v>
      </c>
      <c r="F215" s="360">
        <f>F210+F212+F214</f>
        <v>1313230262.27</v>
      </c>
      <c r="G215" s="360">
        <f>G210+G212+G214</f>
        <v>29457312.169999998</v>
      </c>
      <c r="H215" s="359">
        <f>H210+H212+H214</f>
        <v>1143893325.6799998</v>
      </c>
      <c r="I215" s="361">
        <f>I210+I212+I214</f>
        <v>2003881509.7699997</v>
      </c>
    </row>
    <row r="216" spans="1:9" x14ac:dyDescent="0.2">
      <c r="A216" s="149"/>
      <c r="B216" s="149"/>
      <c r="C216" s="149"/>
      <c r="D216" s="149"/>
      <c r="E216" s="149"/>
      <c r="F216" s="149"/>
      <c r="G216" s="149"/>
      <c r="H216" s="149"/>
      <c r="I216" s="149"/>
    </row>
    <row r="217" spans="1:9" x14ac:dyDescent="0.2">
      <c r="A217" s="149"/>
      <c r="B217" s="149"/>
      <c r="C217" s="149"/>
      <c r="D217" s="149"/>
      <c r="E217" s="149"/>
      <c r="F217" s="149"/>
      <c r="G217" s="149"/>
      <c r="H217" s="149"/>
      <c r="I217" s="149"/>
    </row>
    <row r="218" spans="1:9" x14ac:dyDescent="0.2">
      <c r="A218" s="149"/>
      <c r="B218" s="149"/>
      <c r="C218" s="149"/>
      <c r="D218" s="149"/>
      <c r="E218" s="149"/>
      <c r="F218" s="149"/>
      <c r="G218" s="149"/>
      <c r="H218" s="149"/>
      <c r="I218" s="149"/>
    </row>
    <row r="219" spans="1:9" x14ac:dyDescent="0.25">
      <c r="A219" s="362" t="s">
        <v>279</v>
      </c>
      <c r="B219" s="362"/>
      <c r="C219" s="362"/>
      <c r="D219" s="362"/>
      <c r="E219" s="362"/>
      <c r="F219" s="362"/>
      <c r="G219" s="362"/>
    </row>
    <row r="220" spans="1:9" ht="13.5" thickBot="1" x14ac:dyDescent="0.3">
      <c r="A220" s="363"/>
      <c r="B220" s="364"/>
      <c r="C220" s="365"/>
      <c r="D220" s="365"/>
      <c r="E220" s="365"/>
      <c r="F220" s="365"/>
      <c r="G220" s="365"/>
    </row>
    <row r="221" spans="1:9" ht="26.25" thickBot="1" x14ac:dyDescent="0.3">
      <c r="A221" s="366" t="s">
        <v>280</v>
      </c>
      <c r="B221" s="367"/>
      <c r="C221" s="368"/>
      <c r="D221" s="369" t="s">
        <v>281</v>
      </c>
      <c r="E221" s="370" t="s">
        <v>282</v>
      </c>
      <c r="F221" s="371" t="s">
        <v>283</v>
      </c>
      <c r="G221" s="370" t="s">
        <v>284</v>
      </c>
      <c r="H221" s="372" t="s">
        <v>285</v>
      </c>
    </row>
    <row r="222" spans="1:9" x14ac:dyDescent="0.25">
      <c r="A222" s="373" t="s">
        <v>286</v>
      </c>
      <c r="B222" s="374"/>
      <c r="C222" s="375"/>
      <c r="D222" s="376">
        <f>'[1]Nota II.1.8'!C51</f>
        <v>0</v>
      </c>
      <c r="E222" s="376">
        <f>'[1]Nota II.1.8'!D51</f>
        <v>0</v>
      </c>
      <c r="F222" s="376">
        <f>'[1]Nota II.1.8'!E51</f>
        <v>0</v>
      </c>
      <c r="G222" s="376">
        <f>'[1]Nota II.1.8'!F51</f>
        <v>0</v>
      </c>
      <c r="H222" s="377">
        <f>D222+E222-F222-G222</f>
        <v>0</v>
      </c>
    </row>
    <row r="223" spans="1:9" x14ac:dyDescent="0.25">
      <c r="A223" s="378" t="s">
        <v>287</v>
      </c>
      <c r="B223" s="379"/>
      <c r="C223" s="380"/>
      <c r="D223" s="381">
        <f>'[1]Nota II.1.8'!C52</f>
        <v>0</v>
      </c>
      <c r="E223" s="381">
        <f>'[1]Nota II.1.8'!D52</f>
        <v>0</v>
      </c>
      <c r="F223" s="381">
        <f>'[1]Nota II.1.8'!E52</f>
        <v>0</v>
      </c>
      <c r="G223" s="381">
        <f>'[1]Nota II.1.8'!F52</f>
        <v>0</v>
      </c>
      <c r="H223" s="382">
        <f t="shared" ref="H223:H231" si="15">D223+E223-F223-G223</f>
        <v>0</v>
      </c>
    </row>
    <row r="224" spans="1:9" ht="15" customHeight="1" x14ac:dyDescent="0.25">
      <c r="A224" s="378" t="s">
        <v>288</v>
      </c>
      <c r="B224" s="379"/>
      <c r="C224" s="380"/>
      <c r="D224" s="381">
        <f>'[1]Nota II.1.8'!C53</f>
        <v>210812488</v>
      </c>
      <c r="E224" s="381">
        <f>'[1]Nota II.1.8'!D53</f>
        <v>16140112.779999999</v>
      </c>
      <c r="F224" s="381">
        <f>'[1]Nota II.1.8'!E53</f>
        <v>9546034.3200000003</v>
      </c>
      <c r="G224" s="381">
        <f>'[1]Nota II.1.8'!F53</f>
        <v>19543208</v>
      </c>
      <c r="H224" s="382">
        <f t="shared" si="15"/>
        <v>197863358.46000001</v>
      </c>
    </row>
    <row r="225" spans="1:8" ht="15" customHeight="1" x14ac:dyDescent="0.25">
      <c r="A225" s="378" t="s">
        <v>289</v>
      </c>
      <c r="B225" s="379"/>
      <c r="C225" s="380"/>
      <c r="D225" s="381">
        <f>'[1]Nota II.1.8'!C54</f>
        <v>1678057</v>
      </c>
      <c r="E225" s="381">
        <f>'[1]Nota II.1.8'!D54</f>
        <v>79000</v>
      </c>
      <c r="F225" s="381">
        <f>'[1]Nota II.1.8'!E54</f>
        <v>0</v>
      </c>
      <c r="G225" s="381">
        <f>'[1]Nota II.1.8'!F54</f>
        <v>0</v>
      </c>
      <c r="H225" s="382">
        <f t="shared" si="15"/>
        <v>1757057</v>
      </c>
    </row>
    <row r="226" spans="1:8" ht="33" customHeight="1" x14ac:dyDescent="0.25">
      <c r="A226" s="378" t="s">
        <v>290</v>
      </c>
      <c r="B226" s="379"/>
      <c r="C226" s="380"/>
      <c r="D226" s="381">
        <f>'[1]Nota II.1.8'!C55</f>
        <v>24046844.77</v>
      </c>
      <c r="E226" s="381">
        <f>'[1]Nota II.1.8'!D55</f>
        <v>4023392.42</v>
      </c>
      <c r="F226" s="381">
        <f>'[1]Nota II.1.8'!E55</f>
        <v>0</v>
      </c>
      <c r="G226" s="381">
        <f>'[1]Nota II.1.8'!F55</f>
        <v>491134</v>
      </c>
      <c r="H226" s="382">
        <f t="shared" si="15"/>
        <v>27579103.189999998</v>
      </c>
    </row>
    <row r="227" spans="1:8" ht="32.450000000000003" customHeight="1" x14ac:dyDescent="0.25">
      <c r="A227" s="383" t="s">
        <v>291</v>
      </c>
      <c r="B227" s="384"/>
      <c r="C227" s="385"/>
      <c r="D227" s="381">
        <f>'[1]Nota II.1.8'!C56</f>
        <v>306466152.88</v>
      </c>
      <c r="E227" s="381">
        <f>'[1]Nota II.1.8'!D56</f>
        <v>150369130.94999999</v>
      </c>
      <c r="F227" s="381">
        <f>'[1]Nota II.1.8'!E56</f>
        <v>812408</v>
      </c>
      <c r="G227" s="381">
        <f>'[1]Nota II.1.8'!F56</f>
        <v>42369265.380000003</v>
      </c>
      <c r="H227" s="382">
        <f t="shared" si="15"/>
        <v>413653610.44999999</v>
      </c>
    </row>
    <row r="228" spans="1:8" ht="15" customHeight="1" x14ac:dyDescent="0.25">
      <c r="A228" s="383" t="s">
        <v>292</v>
      </c>
      <c r="B228" s="384"/>
      <c r="C228" s="385"/>
      <c r="D228" s="381">
        <f>'[1]Nota II.1.8'!C57</f>
        <v>25847927.780000001</v>
      </c>
      <c r="E228" s="381">
        <f>'[1]Nota II.1.8'!D57</f>
        <v>4462499.3499999996</v>
      </c>
      <c r="F228" s="381">
        <f>'[1]Nota II.1.8'!E57</f>
        <v>11750323</v>
      </c>
      <c r="G228" s="381">
        <f>'[1]Nota II.1.8'!F57</f>
        <v>1447860.35</v>
      </c>
      <c r="H228" s="382">
        <f t="shared" si="15"/>
        <v>17112243.780000001</v>
      </c>
    </row>
    <row r="229" spans="1:8" x14ac:dyDescent="0.25">
      <c r="A229" s="383" t="s">
        <v>293</v>
      </c>
      <c r="B229" s="384"/>
      <c r="C229" s="385"/>
      <c r="D229" s="381">
        <f>'[1]Nota II.1.8'!C58</f>
        <v>1078516</v>
      </c>
      <c r="E229" s="381">
        <f>'[1]Nota II.1.8'!D58</f>
        <v>160356</v>
      </c>
      <c r="F229" s="381">
        <f>'[1]Nota II.1.8'!E58</f>
        <v>297316</v>
      </c>
      <c r="G229" s="381">
        <f>'[1]Nota II.1.8'!F58</f>
        <v>244650</v>
      </c>
      <c r="H229" s="382">
        <f t="shared" si="15"/>
        <v>696906</v>
      </c>
    </row>
    <row r="230" spans="1:8" x14ac:dyDescent="0.25">
      <c r="A230" s="383" t="s">
        <v>294</v>
      </c>
      <c r="B230" s="384"/>
      <c r="C230" s="385"/>
      <c r="D230" s="381">
        <f>'[1]Nota II.1.8'!C59</f>
        <v>137157370.12</v>
      </c>
      <c r="E230" s="381">
        <f>'[1]Nota II.1.8'!D59</f>
        <v>14371940.449999999</v>
      </c>
      <c r="F230" s="381">
        <f>'[1]Nota II.1.8'!E59</f>
        <v>182696.4</v>
      </c>
      <c r="G230" s="381">
        <f>'[1]Nota II.1.8'!F59</f>
        <v>4560165.32</v>
      </c>
      <c r="H230" s="382">
        <f t="shared" si="15"/>
        <v>146786448.84999999</v>
      </c>
    </row>
    <row r="231" spans="1:8" ht="15" customHeight="1" thickBot="1" x14ac:dyDescent="0.3">
      <c r="A231" s="383" t="s">
        <v>295</v>
      </c>
      <c r="B231" s="384"/>
      <c r="C231" s="385"/>
      <c r="D231" s="386">
        <f>'[1]Nota II.1.8'!C60</f>
        <v>853097473.25</v>
      </c>
      <c r="E231" s="386">
        <f>'[1]Nota II.1.8'!D60</f>
        <v>190299384.56999999</v>
      </c>
      <c r="F231" s="386">
        <f>'[1]Nota II.1.8'!E60</f>
        <v>103662607.65000001</v>
      </c>
      <c r="G231" s="386">
        <f>'[1]Nota II.1.8'!F60</f>
        <v>162696012.87</v>
      </c>
      <c r="H231" s="387">
        <f t="shared" si="15"/>
        <v>777038237.29999995</v>
      </c>
    </row>
    <row r="232" spans="1:8" ht="15.75" customHeight="1" thickBot="1" x14ac:dyDescent="0.3">
      <c r="A232" s="388" t="s">
        <v>264</v>
      </c>
      <c r="B232" s="389"/>
      <c r="C232" s="390"/>
      <c r="D232" s="391">
        <f>SUM(D222:D231)</f>
        <v>1560184829.8</v>
      </c>
      <c r="E232" s="391">
        <f>SUM(E222:E231)</f>
        <v>379905816.51999998</v>
      </c>
      <c r="F232" s="391">
        <f>SUM(F222:F231)</f>
        <v>126251385.37</v>
      </c>
      <c r="G232" s="391">
        <f>SUM(G222:G231)</f>
        <v>231352295.92000002</v>
      </c>
      <c r="H232" s="392">
        <f>SUM(H222:H231)</f>
        <v>1582486965.03</v>
      </c>
    </row>
    <row r="233" spans="1:8" x14ac:dyDescent="0.2">
      <c r="A233" s="149"/>
      <c r="B233" s="149"/>
      <c r="C233" s="149"/>
      <c r="D233" s="149"/>
      <c r="E233" s="149"/>
      <c r="F233" s="149"/>
      <c r="G233" s="149"/>
    </row>
    <row r="234" spans="1:8" x14ac:dyDescent="0.25">
      <c r="A234" s="393"/>
      <c r="B234" s="393"/>
      <c r="C234" s="393"/>
      <c r="D234" s="393"/>
      <c r="E234" s="393"/>
      <c r="F234" s="393"/>
      <c r="G234" s="393"/>
    </row>
    <row r="235" spans="1:8" x14ac:dyDescent="0.25">
      <c r="A235" s="393"/>
      <c r="B235" s="393"/>
      <c r="C235" s="393"/>
      <c r="D235" s="393"/>
      <c r="E235" s="393"/>
      <c r="F235" s="393"/>
      <c r="G235" s="393"/>
    </row>
    <row r="236" spans="1:8" x14ac:dyDescent="0.25">
      <c r="A236" s="283" t="s">
        <v>296</v>
      </c>
      <c r="B236" s="283"/>
      <c r="C236" s="283"/>
    </row>
    <row r="237" spans="1:8" ht="13.5" thickBot="1" x14ac:dyDescent="0.25">
      <c r="A237" s="149"/>
      <c r="B237" s="149"/>
      <c r="C237" s="149"/>
    </row>
    <row r="238" spans="1:8" ht="13.5" thickBot="1" x14ac:dyDescent="0.3">
      <c r="A238" s="388" t="s">
        <v>191</v>
      </c>
      <c r="B238" s="394"/>
      <c r="C238" s="395" t="s">
        <v>7</v>
      </c>
      <c r="D238" s="396" t="s">
        <v>8</v>
      </c>
    </row>
    <row r="239" spans="1:8" ht="13.5" thickBot="1" x14ac:dyDescent="0.3">
      <c r="A239" s="388" t="s">
        <v>297</v>
      </c>
      <c r="B239" s="394"/>
      <c r="C239" s="397">
        <f>SUM(C240:C242)</f>
        <v>0</v>
      </c>
      <c r="D239" s="397">
        <f>SUM(D240:D242)</f>
        <v>0</v>
      </c>
    </row>
    <row r="240" spans="1:8" x14ac:dyDescent="0.25">
      <c r="A240" s="398" t="s">
        <v>298</v>
      </c>
      <c r="B240" s="399"/>
      <c r="C240" s="400">
        <f>'[1]Nota II.1.9'!B27</f>
        <v>0</v>
      </c>
      <c r="D240" s="400">
        <f>'[1]Nota II.1.9'!C27</f>
        <v>0</v>
      </c>
    </row>
    <row r="241" spans="1:6" x14ac:dyDescent="0.25">
      <c r="A241" s="401" t="s">
        <v>299</v>
      </c>
      <c r="B241" s="402"/>
      <c r="C241" s="400">
        <f>'[1]Nota II.1.9'!B28</f>
        <v>0</v>
      </c>
      <c r="D241" s="400">
        <f>'[1]Nota II.1.9'!C28</f>
        <v>0</v>
      </c>
    </row>
    <row r="242" spans="1:6" ht="13.5" thickBot="1" x14ac:dyDescent="0.3">
      <c r="A242" s="403" t="s">
        <v>300</v>
      </c>
      <c r="B242" s="404"/>
      <c r="C242" s="400">
        <f>'[1]Nota II.1.9'!B29</f>
        <v>0</v>
      </c>
      <c r="D242" s="400">
        <f>'[1]Nota II.1.9'!C29</f>
        <v>0</v>
      </c>
    </row>
    <row r="243" spans="1:6" ht="26.25" customHeight="1" thickBot="1" x14ac:dyDescent="0.3">
      <c r="A243" s="388" t="s">
        <v>301</v>
      </c>
      <c r="B243" s="394"/>
      <c r="C243" s="405">
        <f>SUM(C244:C246)</f>
        <v>161469</v>
      </c>
      <c r="D243" s="397">
        <f>SUM(D244:D246)</f>
        <v>252591.20000000007</v>
      </c>
    </row>
    <row r="244" spans="1:6" x14ac:dyDescent="0.25">
      <c r="A244" s="398" t="s">
        <v>298</v>
      </c>
      <c r="B244" s="399"/>
      <c r="C244" s="400">
        <f>'[1]Nota II.1.9'!B31</f>
        <v>18430.47</v>
      </c>
      <c r="D244" s="400">
        <f>'[1]Nota II.1.9'!C31</f>
        <v>18098.560000000056</v>
      </c>
    </row>
    <row r="245" spans="1:6" x14ac:dyDescent="0.25">
      <c r="A245" s="401" t="s">
        <v>299</v>
      </c>
      <c r="B245" s="402"/>
      <c r="C245" s="400">
        <f>'[1]Nota II.1.9'!B32</f>
        <v>22247.18</v>
      </c>
      <c r="D245" s="400">
        <f>'[1]Nota II.1.9'!C32</f>
        <v>116105.89</v>
      </c>
    </row>
    <row r="246" spans="1:6" ht="13.5" thickBot="1" x14ac:dyDescent="0.3">
      <c r="A246" s="403" t="s">
        <v>300</v>
      </c>
      <c r="B246" s="404"/>
      <c r="C246" s="400">
        <f>'[1]Nota II.1.9'!B33</f>
        <v>120791.35</v>
      </c>
      <c r="D246" s="400">
        <f>'[1]Nota II.1.9'!C33</f>
        <v>118386.75</v>
      </c>
    </row>
    <row r="247" spans="1:6" ht="26.25" customHeight="1" thickBot="1" x14ac:dyDescent="0.3">
      <c r="A247" s="388" t="s">
        <v>302</v>
      </c>
      <c r="B247" s="394"/>
      <c r="C247" s="406">
        <f>SUM(C248:C250)</f>
        <v>631115.01</v>
      </c>
      <c r="D247" s="407">
        <f>SUM(D248:D250)</f>
        <v>367291.62</v>
      </c>
    </row>
    <row r="248" spans="1:6" ht="25.5" customHeight="1" x14ac:dyDescent="0.25">
      <c r="A248" s="398" t="s">
        <v>298</v>
      </c>
      <c r="B248" s="399"/>
      <c r="C248" s="400">
        <f>'[1]Nota II.1.9'!B35</f>
        <v>179447.71</v>
      </c>
      <c r="D248" s="400">
        <f>'[1]Nota II.1.9'!C35</f>
        <v>64319.199999999997</v>
      </c>
    </row>
    <row r="249" spans="1:6" x14ac:dyDescent="0.25">
      <c r="A249" s="401" t="s">
        <v>299</v>
      </c>
      <c r="B249" s="402"/>
      <c r="C249" s="400">
        <f>'[1]Nota II.1.9'!B36</f>
        <v>161162.18</v>
      </c>
      <c r="D249" s="400">
        <f>'[1]Nota II.1.9'!C36</f>
        <v>46708.19</v>
      </c>
    </row>
    <row r="250" spans="1:6" ht="13.5" thickBot="1" x14ac:dyDescent="0.3">
      <c r="A250" s="403" t="s">
        <v>300</v>
      </c>
      <c r="B250" s="404"/>
      <c r="C250" s="400">
        <f>'[1]Nota II.1.9'!B37</f>
        <v>290505.12</v>
      </c>
      <c r="D250" s="400">
        <f>'[1]Nota II.1.9'!C37</f>
        <v>256264.23</v>
      </c>
    </row>
    <row r="251" spans="1:6" ht="13.5" thickBot="1" x14ac:dyDescent="0.3">
      <c r="A251" s="388" t="s">
        <v>264</v>
      </c>
      <c r="B251" s="394"/>
      <c r="C251" s="408">
        <f>C239+C243+C247</f>
        <v>792584.01</v>
      </c>
      <c r="D251" s="408">
        <f>D239+D243+D247</f>
        <v>619882.82000000007</v>
      </c>
    </row>
    <row r="254" spans="1:6" ht="29.25" customHeight="1" x14ac:dyDescent="0.25">
      <c r="A254" s="283" t="s">
        <v>303</v>
      </c>
      <c r="B254" s="283"/>
      <c r="C254" s="283"/>
      <c r="D254" s="284"/>
      <c r="E254" s="284"/>
      <c r="F254" s="284"/>
    </row>
    <row r="255" spans="1:6" x14ac:dyDescent="0.25">
      <c r="A255" s="286"/>
      <c r="B255" s="286"/>
      <c r="C255" s="286"/>
    </row>
    <row r="256" spans="1:6" x14ac:dyDescent="0.25">
      <c r="A256" s="107" t="s">
        <v>304</v>
      </c>
    </row>
    <row r="259" spans="1:9" x14ac:dyDescent="0.25">
      <c r="A259" s="409" t="s">
        <v>305</v>
      </c>
      <c r="B259" s="409"/>
      <c r="C259" s="409"/>
      <c r="D259" s="409"/>
      <c r="E259" s="409"/>
    </row>
    <row r="260" spans="1:9" x14ac:dyDescent="0.25">
      <c r="A260" s="226"/>
      <c r="B260" s="226"/>
      <c r="C260" s="226"/>
      <c r="D260" s="226"/>
      <c r="E260" s="226"/>
    </row>
    <row r="261" spans="1:9" x14ac:dyDescent="0.25">
      <c r="A261" s="107" t="s">
        <v>306</v>
      </c>
    </row>
    <row r="272" spans="1:9" x14ac:dyDescent="0.25">
      <c r="A272" s="283" t="s">
        <v>307</v>
      </c>
      <c r="B272" s="283"/>
      <c r="C272" s="283"/>
      <c r="D272" s="284"/>
      <c r="E272" s="284"/>
      <c r="F272" s="284"/>
      <c r="G272" s="284"/>
      <c r="H272" s="284"/>
      <c r="I272" s="284"/>
    </row>
    <row r="273" spans="1:9" ht="13.5" thickBot="1" x14ac:dyDescent="0.3">
      <c r="A273" s="410"/>
      <c r="G273" s="311"/>
    </row>
    <row r="274" spans="1:9" ht="33.75" customHeight="1" thickBot="1" x14ac:dyDescent="0.25">
      <c r="A274" s="287" t="s">
        <v>308</v>
      </c>
      <c r="B274" s="310"/>
      <c r="C274" s="291" t="s">
        <v>281</v>
      </c>
      <c r="D274" s="411" t="s">
        <v>8</v>
      </c>
      <c r="E274" s="412" t="s">
        <v>309</v>
      </c>
      <c r="F274" s="413"/>
      <c r="G274" s="414"/>
      <c r="H274" s="414"/>
      <c r="I274" s="415"/>
    </row>
    <row r="275" spans="1:9" ht="94.9" customHeight="1" x14ac:dyDescent="0.2">
      <c r="A275" s="416" t="s">
        <v>310</v>
      </c>
      <c r="B275" s="417"/>
      <c r="C275" s="418">
        <f>'[1]Nota II.1.12a'!B26</f>
        <v>50341194.82</v>
      </c>
      <c r="D275" s="418">
        <f>'[1]Nota II.1.12a'!C26</f>
        <v>30968397.510000002</v>
      </c>
      <c r="E275" s="419" t="s">
        <v>311</v>
      </c>
      <c r="F275" s="420"/>
      <c r="G275" s="420"/>
      <c r="H275" s="420"/>
      <c r="I275" s="421"/>
    </row>
    <row r="276" spans="1:9" ht="14.25" customHeight="1" x14ac:dyDescent="0.2">
      <c r="A276" s="422" t="s">
        <v>312</v>
      </c>
      <c r="B276" s="423"/>
      <c r="C276" s="424">
        <f>'[1]Nota II.1.12a'!B27</f>
        <v>0</v>
      </c>
      <c r="D276" s="424">
        <f>'[1]Nota II.1.12a'!C27</f>
        <v>0</v>
      </c>
      <c r="E276" s="425"/>
      <c r="F276" s="426"/>
      <c r="G276" s="426"/>
      <c r="H276" s="426"/>
      <c r="I276" s="427"/>
    </row>
    <row r="277" spans="1:9" ht="15" customHeight="1" x14ac:dyDescent="0.2">
      <c r="A277" s="428" t="s">
        <v>313</v>
      </c>
      <c r="B277" s="429"/>
      <c r="C277" s="424">
        <f>'[1]Nota II.1.12a'!B28</f>
        <v>0</v>
      </c>
      <c r="D277" s="424">
        <f>'[1]Nota II.1.12a'!C28</f>
        <v>0</v>
      </c>
      <c r="E277" s="430"/>
      <c r="F277" s="431"/>
      <c r="G277" s="431"/>
      <c r="H277" s="431"/>
      <c r="I277" s="432"/>
    </row>
    <row r="278" spans="1:9" ht="14.25" customHeight="1" x14ac:dyDescent="0.2">
      <c r="A278" s="433" t="s">
        <v>314</v>
      </c>
      <c r="B278" s="434"/>
      <c r="C278" s="424">
        <f>'[1]Nota II.1.12a'!B29</f>
        <v>0</v>
      </c>
      <c r="D278" s="424">
        <f>'[1]Nota II.1.12a'!C29</f>
        <v>0</v>
      </c>
      <c r="E278" s="425"/>
      <c r="F278" s="426"/>
      <c r="G278" s="426"/>
      <c r="H278" s="426"/>
      <c r="I278" s="427"/>
    </row>
    <row r="279" spans="1:9" ht="14.25" customHeight="1" x14ac:dyDescent="0.2">
      <c r="A279" s="422" t="s">
        <v>315</v>
      </c>
      <c r="B279" s="423"/>
      <c r="C279" s="424">
        <f>'[1]Nota II.1.12a'!B30</f>
        <v>0</v>
      </c>
      <c r="D279" s="424">
        <f>'[1]Nota II.1.12a'!C30</f>
        <v>0</v>
      </c>
      <c r="E279" s="425"/>
      <c r="F279" s="426"/>
      <c r="G279" s="426"/>
      <c r="H279" s="426"/>
      <c r="I279" s="427"/>
    </row>
    <row r="280" spans="1:9" ht="14.25" customHeight="1" x14ac:dyDescent="0.2">
      <c r="A280" s="422" t="s">
        <v>316</v>
      </c>
      <c r="B280" s="423"/>
      <c r="C280" s="424">
        <f>'[1]Nota II.1.12a'!B31</f>
        <v>0</v>
      </c>
      <c r="D280" s="424">
        <f>'[1]Nota II.1.12a'!C31</f>
        <v>0</v>
      </c>
      <c r="E280" s="425"/>
      <c r="F280" s="426"/>
      <c r="G280" s="426"/>
      <c r="H280" s="426"/>
      <c r="I280" s="427"/>
    </row>
    <row r="281" spans="1:9" ht="14.25" customHeight="1" x14ac:dyDescent="0.2">
      <c r="A281" s="422" t="s">
        <v>317</v>
      </c>
      <c r="B281" s="423"/>
      <c r="C281" s="424">
        <f>'[1]Nota II.1.12a'!B32</f>
        <v>0</v>
      </c>
      <c r="D281" s="424">
        <f>'[1]Nota II.1.12a'!C32</f>
        <v>0</v>
      </c>
      <c r="E281" s="425"/>
      <c r="F281" s="426"/>
      <c r="G281" s="426"/>
      <c r="H281" s="426"/>
      <c r="I281" s="427"/>
    </row>
    <row r="282" spans="1:9" x14ac:dyDescent="0.2">
      <c r="A282" s="422" t="s">
        <v>318</v>
      </c>
      <c r="B282" s="423"/>
      <c r="C282" s="424">
        <f>'[1]Nota II.1.12a'!B33</f>
        <v>0</v>
      </c>
      <c r="D282" s="424">
        <f>'[1]Nota II.1.12a'!C33</f>
        <v>0</v>
      </c>
      <c r="E282" s="425"/>
      <c r="F282" s="426"/>
      <c r="G282" s="426"/>
      <c r="H282" s="426"/>
      <c r="I282" s="427"/>
    </row>
    <row r="283" spans="1:9" ht="15.75" customHeight="1" thickBot="1" x14ac:dyDescent="0.25">
      <c r="A283" s="435" t="s">
        <v>177</v>
      </c>
      <c r="B283" s="436"/>
      <c r="C283" s="437">
        <f>'[1]Nota II.1.12a'!B34</f>
        <v>0</v>
      </c>
      <c r="D283" s="437">
        <f>'[1]Nota II.1.12a'!C34</f>
        <v>0</v>
      </c>
      <c r="E283" s="438"/>
      <c r="F283" s="439"/>
      <c r="G283" s="439"/>
      <c r="H283" s="439"/>
      <c r="I283" s="440"/>
    </row>
    <row r="284" spans="1:9" ht="15.75" customHeight="1" thickBot="1" x14ac:dyDescent="0.3">
      <c r="A284" s="441" t="s">
        <v>264</v>
      </c>
      <c r="B284" s="442"/>
      <c r="C284" s="443">
        <f>C275+C276+C278+C282</f>
        <v>50341194.82</v>
      </c>
      <c r="D284" s="444">
        <f>D275+D276+D278+D282</f>
        <v>30968397.510000002</v>
      </c>
      <c r="E284" s="445"/>
      <c r="F284" s="446"/>
      <c r="G284" s="446"/>
      <c r="H284" s="446"/>
      <c r="I284" s="447"/>
    </row>
    <row r="285" spans="1:9" s="450" customFormat="1" x14ac:dyDescent="0.25">
      <c r="A285" s="448"/>
      <c r="B285" s="448"/>
      <c r="C285" s="449"/>
      <c r="D285" s="449"/>
      <c r="E285" s="449"/>
    </row>
    <row r="286" spans="1:9" s="450" customFormat="1" x14ac:dyDescent="0.25">
      <c r="A286" s="448"/>
      <c r="B286" s="448"/>
      <c r="C286" s="449"/>
      <c r="D286" s="449"/>
      <c r="E286" s="449"/>
    </row>
    <row r="287" spans="1:9" x14ac:dyDescent="0.25">
      <c r="A287" s="362" t="s">
        <v>319</v>
      </c>
      <c r="B287" s="362"/>
      <c r="C287" s="362"/>
      <c r="D287" s="362"/>
    </row>
    <row r="288" spans="1:9" ht="13.5" thickBot="1" x14ac:dyDescent="0.3">
      <c r="A288" s="363"/>
      <c r="B288" s="364"/>
      <c r="C288" s="365"/>
      <c r="D288" s="365"/>
    </row>
    <row r="289" spans="1:4" ht="13.5" thickBot="1" x14ac:dyDescent="0.3">
      <c r="A289" s="451" t="s">
        <v>280</v>
      </c>
      <c r="B289" s="452"/>
      <c r="C289" s="453" t="s">
        <v>281</v>
      </c>
      <c r="D289" s="396" t="s">
        <v>285</v>
      </c>
    </row>
    <row r="290" spans="1:4" ht="32.25" hidden="1" customHeight="1" x14ac:dyDescent="0.25">
      <c r="A290" s="454" t="s">
        <v>320</v>
      </c>
      <c r="B290" s="455"/>
      <c r="C290" s="456">
        <f>'[1]Nota II.1.12b'!C47</f>
        <v>0</v>
      </c>
      <c r="D290" s="457">
        <f>'[1]Nota II.1.12b'!D47</f>
        <v>0</v>
      </c>
    </row>
    <row r="291" spans="1:4" x14ac:dyDescent="0.25">
      <c r="A291" s="458" t="s">
        <v>321</v>
      </c>
      <c r="B291" s="459"/>
      <c r="C291" s="460">
        <f>'[1]Nota II.1.12b'!C48</f>
        <v>10000</v>
      </c>
      <c r="D291" s="461">
        <f>'[1]Nota II.1.12b'!D48</f>
        <v>33090</v>
      </c>
    </row>
    <row r="292" spans="1:4" hidden="1" x14ac:dyDescent="0.25">
      <c r="A292" s="458" t="s">
        <v>322</v>
      </c>
      <c r="B292" s="459"/>
      <c r="C292" s="460">
        <f>'[1]Nota II.1.12b'!C49</f>
        <v>0</v>
      </c>
      <c r="D292" s="461">
        <f>'[1]Nota II.1.12b'!D49</f>
        <v>0</v>
      </c>
    </row>
    <row r="293" spans="1:4" ht="25.5" customHeight="1" x14ac:dyDescent="0.25">
      <c r="A293" s="458" t="s">
        <v>323</v>
      </c>
      <c r="B293" s="459"/>
      <c r="C293" s="460">
        <f>'[1]Nota II.1.12b'!C50</f>
        <v>2861001820</v>
      </c>
      <c r="D293" s="461">
        <f>'[1]Nota II.1.12b'!D50</f>
        <v>2861001820</v>
      </c>
    </row>
    <row r="294" spans="1:4" ht="27" customHeight="1" x14ac:dyDescent="0.25">
      <c r="A294" s="458" t="s">
        <v>324</v>
      </c>
      <c r="B294" s="459"/>
      <c r="C294" s="460">
        <f>'[1]Nota II.1.12b'!C51</f>
        <v>0</v>
      </c>
      <c r="D294" s="461">
        <f>'[1]Nota II.1.12b'!D51</f>
        <v>6072334</v>
      </c>
    </row>
    <row r="295" spans="1:4" x14ac:dyDescent="0.25">
      <c r="A295" s="462" t="s">
        <v>325</v>
      </c>
      <c r="B295" s="459"/>
      <c r="C295" s="460">
        <f>'[1]Nota II.1.12b'!C52</f>
        <v>0</v>
      </c>
      <c r="D295" s="461">
        <f>'[1]Nota II.1.12b'!D52</f>
        <v>0</v>
      </c>
    </row>
    <row r="296" spans="1:4" ht="29.25" customHeight="1" x14ac:dyDescent="0.25">
      <c r="A296" s="462" t="s">
        <v>326</v>
      </c>
      <c r="B296" s="459"/>
      <c r="C296" s="460">
        <f>'[1]Nota II.1.12b'!C53</f>
        <v>0</v>
      </c>
      <c r="D296" s="461">
        <f>'[1]Nota II.1.12b'!D53</f>
        <v>0</v>
      </c>
    </row>
    <row r="297" spans="1:4" ht="25.5" customHeight="1" x14ac:dyDescent="0.25">
      <c r="A297" s="462" t="s">
        <v>327</v>
      </c>
      <c r="B297" s="459"/>
      <c r="C297" s="460">
        <f>'[1]Nota II.1.12b'!C54</f>
        <v>3971763.9</v>
      </c>
      <c r="D297" s="461">
        <f>'[1]Nota II.1.12b'!D54</f>
        <v>3840129</v>
      </c>
    </row>
    <row r="298" spans="1:4" x14ac:dyDescent="0.25">
      <c r="A298" s="462" t="s">
        <v>328</v>
      </c>
      <c r="B298" s="463"/>
      <c r="C298" s="464">
        <v>8176835.3899999997</v>
      </c>
      <c r="D298" s="465">
        <v>8815641.5800000001</v>
      </c>
    </row>
    <row r="299" spans="1:4" ht="13.5" thickBot="1" x14ac:dyDescent="0.3">
      <c r="A299" s="466" t="s">
        <v>329</v>
      </c>
      <c r="B299" s="467"/>
      <c r="C299" s="468">
        <f>'[1]Nota II.1.12b'!C55-8176835.39</f>
        <v>258034896.23000002</v>
      </c>
      <c r="D299" s="469">
        <f>'[1]Nota II.1.12b'!D55-8815641.58</f>
        <v>312622248.78000003</v>
      </c>
    </row>
    <row r="300" spans="1:4" ht="13.5" thickBot="1" x14ac:dyDescent="0.3">
      <c r="A300" s="388" t="s">
        <v>264</v>
      </c>
      <c r="B300" s="470"/>
      <c r="C300" s="407">
        <f>SUM(C290:C299)</f>
        <v>3131195315.52</v>
      </c>
      <c r="D300" s="407">
        <f>SUM(D290:D299)</f>
        <v>3192385263.3600001</v>
      </c>
    </row>
    <row r="301" spans="1:4" x14ac:dyDescent="0.2">
      <c r="A301" s="149"/>
      <c r="B301" s="149"/>
      <c r="C301" s="149"/>
      <c r="D301" s="149"/>
    </row>
    <row r="302" spans="1:4" x14ac:dyDescent="0.2">
      <c r="A302" s="149"/>
      <c r="B302" s="149"/>
      <c r="C302" s="149"/>
      <c r="D302" s="149"/>
    </row>
    <row r="303" spans="1:4" x14ac:dyDescent="0.2">
      <c r="A303" s="149"/>
      <c r="B303" s="149"/>
      <c r="C303" s="149"/>
      <c r="D303" s="149"/>
    </row>
    <row r="304" spans="1:4" x14ac:dyDescent="0.25">
      <c r="A304" s="471" t="s">
        <v>330</v>
      </c>
      <c r="B304" s="471"/>
      <c r="C304" s="471"/>
    </row>
    <row r="305" spans="1:8" ht="13.5" thickBot="1" x14ac:dyDescent="0.3">
      <c r="A305" s="472"/>
      <c r="B305" s="365"/>
      <c r="C305" s="365"/>
    </row>
    <row r="306" spans="1:8" ht="13.5" thickBot="1" x14ac:dyDescent="0.3">
      <c r="A306" s="388" t="s">
        <v>331</v>
      </c>
      <c r="B306" s="473"/>
      <c r="C306" s="474" t="s">
        <v>7</v>
      </c>
      <c r="D306" s="475" t="s">
        <v>8</v>
      </c>
      <c r="G306" s="476"/>
      <c r="H306" s="476"/>
    </row>
    <row r="307" spans="1:8" ht="13.5" thickBot="1" x14ac:dyDescent="0.3">
      <c r="A307" s="477" t="s">
        <v>332</v>
      </c>
      <c r="B307" s="478"/>
      <c r="C307" s="443">
        <f>SUM(C308:C317)</f>
        <v>4975947.8599999994</v>
      </c>
      <c r="D307" s="479">
        <f>SUM(D308:D317)</f>
        <v>5303272.26</v>
      </c>
      <c r="G307" s="476"/>
      <c r="H307" s="476"/>
    </row>
    <row r="308" spans="1:8" ht="55.5" customHeight="1" x14ac:dyDescent="0.25">
      <c r="A308" s="338" t="s">
        <v>333</v>
      </c>
      <c r="B308" s="340"/>
      <c r="C308" s="480">
        <f>'[1]Nota II.1.13a'!B42</f>
        <v>0</v>
      </c>
      <c r="D308" s="480">
        <f>'[1]Nota II.1.13a'!C42</f>
        <v>0</v>
      </c>
      <c r="G308" s="476"/>
      <c r="H308" s="476"/>
    </row>
    <row r="309" spans="1:8" hidden="1" x14ac:dyDescent="0.25">
      <c r="A309" s="481" t="s">
        <v>334</v>
      </c>
      <c r="B309" s="482"/>
      <c r="C309" s="483">
        <f>'[1]Nota II.1.13a'!B43</f>
        <v>0</v>
      </c>
      <c r="D309" s="483">
        <f>'[1]Nota II.1.13a'!C43</f>
        <v>0</v>
      </c>
    </row>
    <row r="310" spans="1:8" x14ac:dyDescent="0.25">
      <c r="A310" s="484" t="s">
        <v>335</v>
      </c>
      <c r="B310" s="485"/>
      <c r="C310" s="483">
        <f>'[1]Nota II.1.13a'!B44</f>
        <v>121758.9</v>
      </c>
      <c r="D310" s="483">
        <f>'[1]Nota II.1.13a'!C44</f>
        <v>98842.91</v>
      </c>
    </row>
    <row r="311" spans="1:8" hidden="1" x14ac:dyDescent="0.25">
      <c r="A311" s="486" t="s">
        <v>336</v>
      </c>
      <c r="B311" s="487"/>
      <c r="C311" s="483">
        <f>'[1]Nota II.1.13a'!B45</f>
        <v>0</v>
      </c>
      <c r="D311" s="483">
        <f>'[1]Nota II.1.13a'!C45</f>
        <v>0</v>
      </c>
    </row>
    <row r="312" spans="1:8" ht="32.25" customHeight="1" x14ac:dyDescent="0.25">
      <c r="A312" s="486" t="s">
        <v>337</v>
      </c>
      <c r="B312" s="487"/>
      <c r="C312" s="483">
        <f>'[1]Nota II.1.13a'!B46</f>
        <v>3984659.06</v>
      </c>
      <c r="D312" s="483">
        <f>'[1]Nota II.1.13a'!C46</f>
        <v>4679689.96</v>
      </c>
    </row>
    <row r="313" spans="1:8" x14ac:dyDescent="0.25">
      <c r="A313" s="488" t="s">
        <v>338</v>
      </c>
      <c r="B313" s="489"/>
      <c r="C313" s="483">
        <f>'[1]Nota II.1.13a'!B47</f>
        <v>0</v>
      </c>
      <c r="D313" s="483">
        <f>'[1]Nota II.1.13a'!C47</f>
        <v>15.37</v>
      </c>
    </row>
    <row r="314" spans="1:8" x14ac:dyDescent="0.25">
      <c r="A314" s="488" t="s">
        <v>339</v>
      </c>
      <c r="B314" s="489"/>
      <c r="C314" s="483">
        <f>'[1]Nota II.1.13a'!B48</f>
        <v>283.70999999999998</v>
      </c>
      <c r="D314" s="483">
        <f>'[1]Nota II.1.13a'!C48</f>
        <v>0</v>
      </c>
    </row>
    <row r="315" spans="1:8" hidden="1" x14ac:dyDescent="0.25">
      <c r="A315" s="484" t="s">
        <v>340</v>
      </c>
      <c r="B315" s="485"/>
      <c r="C315" s="483">
        <f>'[1]Nota II.1.13a'!B49</f>
        <v>0</v>
      </c>
      <c r="D315" s="483">
        <f>'[1]Nota II.1.13a'!C49</f>
        <v>0</v>
      </c>
    </row>
    <row r="316" spans="1:8" hidden="1" x14ac:dyDescent="0.25">
      <c r="A316" s="488" t="s">
        <v>341</v>
      </c>
      <c r="B316" s="489"/>
      <c r="C316" s="483">
        <f>'[1]Nota II.1.13a'!B50</f>
        <v>0</v>
      </c>
      <c r="D316" s="483">
        <f>'[1]Nota II.1.13a'!C50</f>
        <v>0</v>
      </c>
    </row>
    <row r="317" spans="1:8" ht="13.5" thickBot="1" x14ac:dyDescent="0.3">
      <c r="A317" s="490" t="s">
        <v>177</v>
      </c>
      <c r="B317" s="491"/>
      <c r="C317" s="492">
        <f>'[1]Nota II.1.13a'!B51</f>
        <v>869246.19</v>
      </c>
      <c r="D317" s="492">
        <f>'[1]Nota II.1.13a'!C51</f>
        <v>524724.02</v>
      </c>
    </row>
    <row r="318" spans="1:8" ht="13.5" thickBot="1" x14ac:dyDescent="0.3">
      <c r="A318" s="477" t="s">
        <v>342</v>
      </c>
      <c r="B318" s="478"/>
      <c r="C318" s="443">
        <f>SUM(C319:C328)</f>
        <v>25198302.389999997</v>
      </c>
      <c r="D318" s="444">
        <f>SUM(D319:D328)</f>
        <v>47154417.859999999</v>
      </c>
    </row>
    <row r="319" spans="1:8" ht="59.25" customHeight="1" x14ac:dyDescent="0.25">
      <c r="A319" s="338" t="s">
        <v>333</v>
      </c>
      <c r="B319" s="340"/>
      <c r="C319" s="480">
        <f>'[1]Nota II.1.13a'!B53</f>
        <v>0</v>
      </c>
      <c r="D319" s="480">
        <f>'[1]Nota II.1.13a'!C53</f>
        <v>0</v>
      </c>
    </row>
    <row r="320" spans="1:8" x14ac:dyDescent="0.25">
      <c r="A320" s="481" t="s">
        <v>334</v>
      </c>
      <c r="B320" s="482"/>
      <c r="C320" s="483">
        <f>'[1]Nota II.1.13a'!B54</f>
        <v>3152047.85</v>
      </c>
      <c r="D320" s="483">
        <f>'[1]Nota II.1.13a'!C54</f>
        <v>2759468.31</v>
      </c>
    </row>
    <row r="321" spans="1:4" x14ac:dyDescent="0.25">
      <c r="A321" s="484" t="s">
        <v>335</v>
      </c>
      <c r="B321" s="485"/>
      <c r="C321" s="483">
        <f>'[1]Nota II.1.13a'!B55</f>
        <v>27319.15</v>
      </c>
      <c r="D321" s="483">
        <f>'[1]Nota II.1.13a'!C55</f>
        <v>23044.74</v>
      </c>
    </row>
    <row r="322" spans="1:4" hidden="1" x14ac:dyDescent="0.25">
      <c r="A322" s="486" t="s">
        <v>336</v>
      </c>
      <c r="B322" s="487"/>
      <c r="C322" s="483">
        <f>'[1]Nota II.1.13a'!B56</f>
        <v>0</v>
      </c>
      <c r="D322" s="483">
        <f>'[1]Nota II.1.13a'!C56</f>
        <v>0</v>
      </c>
    </row>
    <row r="323" spans="1:4" ht="24.75" customHeight="1" x14ac:dyDescent="0.25">
      <c r="A323" s="486" t="s">
        <v>337</v>
      </c>
      <c r="B323" s="487"/>
      <c r="C323" s="483">
        <f>'[1]Nota II.1.13a'!B57</f>
        <v>21652691.629999999</v>
      </c>
      <c r="D323" s="483">
        <f>'[1]Nota II.1.13a'!C57</f>
        <v>30745448.239999998</v>
      </c>
    </row>
    <row r="324" spans="1:4" x14ac:dyDescent="0.25">
      <c r="A324" s="486" t="s">
        <v>338</v>
      </c>
      <c r="B324" s="487"/>
      <c r="C324" s="483">
        <f>'[1]Nota II.1.13a'!B58</f>
        <v>27638.240000000002</v>
      </c>
      <c r="D324" s="483">
        <f>'[1]Nota II.1.13a'!C58</f>
        <v>30947.09</v>
      </c>
    </row>
    <row r="325" spans="1:4" x14ac:dyDescent="0.25">
      <c r="A325" s="488" t="s">
        <v>339</v>
      </c>
      <c r="B325" s="489"/>
      <c r="C325" s="483">
        <f>'[1]Nota II.1.13a'!B59</f>
        <v>12831.21</v>
      </c>
      <c r="D325" s="483">
        <f>'[1]Nota II.1.13a'!C59</f>
        <v>12343203.939999999</v>
      </c>
    </row>
    <row r="326" spans="1:4" x14ac:dyDescent="0.25">
      <c r="A326" s="488" t="s">
        <v>343</v>
      </c>
      <c r="B326" s="489"/>
      <c r="C326" s="483">
        <f>'[1]Nota II.1.13a'!B60</f>
        <v>119915.97</v>
      </c>
      <c r="D326" s="483">
        <f>'[1]Nota II.1.13a'!C60</f>
        <v>107069.16</v>
      </c>
    </row>
    <row r="327" spans="1:4" hidden="1" x14ac:dyDescent="0.25">
      <c r="A327" s="488" t="s">
        <v>341</v>
      </c>
      <c r="B327" s="489"/>
      <c r="C327" s="483">
        <f>'[1]Nota II.1.13a'!B61</f>
        <v>0</v>
      </c>
      <c r="D327" s="483">
        <f>'[1]Nota II.1.13a'!C61</f>
        <v>0</v>
      </c>
    </row>
    <row r="328" spans="1:4" ht="13.5" thickBot="1" x14ac:dyDescent="0.3">
      <c r="A328" s="493" t="s">
        <v>344</v>
      </c>
      <c r="B328" s="494"/>
      <c r="C328" s="492">
        <f>'[1]Nota II.1.13a'!B62</f>
        <v>205858.34</v>
      </c>
      <c r="D328" s="492">
        <f>'[1]Nota II.1.13a'!C62</f>
        <v>1145236.3799999999</v>
      </c>
    </row>
    <row r="329" spans="1:4" ht="13.5" thickBot="1" x14ac:dyDescent="0.3">
      <c r="A329" s="495" t="s">
        <v>264</v>
      </c>
      <c r="B329" s="496"/>
      <c r="C329" s="361">
        <f>C307+C318</f>
        <v>30174250.249999996</v>
      </c>
      <c r="D329" s="359">
        <f>D307+D318</f>
        <v>52457690.119999997</v>
      </c>
    </row>
    <row r="339" spans="1:5" ht="27" customHeight="1" x14ac:dyDescent="0.2">
      <c r="A339" s="497" t="s">
        <v>345</v>
      </c>
      <c r="B339" s="497"/>
      <c r="C339" s="497"/>
      <c r="D339" s="221"/>
      <c r="E339" s="221"/>
    </row>
    <row r="340" spans="1:5" ht="13.5" thickBot="1" x14ac:dyDescent="0.25">
      <c r="A340" s="365"/>
      <c r="B340" s="365"/>
      <c r="C340" s="365"/>
      <c r="D340" s="149"/>
    </row>
    <row r="341" spans="1:5" ht="13.5" thickBot="1" x14ac:dyDescent="0.3">
      <c r="A341" s="498" t="s">
        <v>346</v>
      </c>
      <c r="B341" s="499"/>
      <c r="C341" s="500" t="s">
        <v>7</v>
      </c>
      <c r="D341" s="396" t="s">
        <v>285</v>
      </c>
    </row>
    <row r="342" spans="1:5" x14ac:dyDescent="0.25">
      <c r="A342" s="501" t="s">
        <v>347</v>
      </c>
      <c r="B342" s="502"/>
      <c r="C342" s="503">
        <f>SUM(C343:C349)</f>
        <v>120105120.26000001</v>
      </c>
      <c r="D342" s="503">
        <f>SUM(D343:D349)</f>
        <v>140817824.39000002</v>
      </c>
    </row>
    <row r="343" spans="1:5" x14ac:dyDescent="0.25">
      <c r="A343" s="504" t="s">
        <v>348</v>
      </c>
      <c r="B343" s="505"/>
      <c r="C343" s="506">
        <f>'[1]Nota II.1.13b'!B62</f>
        <v>108934458.09999999</v>
      </c>
      <c r="D343" s="506">
        <f>'[1]Nota II.1.13b'!C62</f>
        <v>112413297.87</v>
      </c>
    </row>
    <row r="344" spans="1:5" x14ac:dyDescent="0.25">
      <c r="A344" s="504" t="s">
        <v>349</v>
      </c>
      <c r="B344" s="505"/>
      <c r="C344" s="506">
        <f>'[1]Nota II.1.13b'!B63</f>
        <v>0</v>
      </c>
      <c r="D344" s="506">
        <f>'[1]Nota II.1.13b'!C63</f>
        <v>486237.4</v>
      </c>
    </row>
    <row r="345" spans="1:5" ht="27.75" customHeight="1" x14ac:dyDescent="0.25">
      <c r="A345" s="507" t="s">
        <v>350</v>
      </c>
      <c r="B345" s="508"/>
      <c r="C345" s="506">
        <f>'[1]Nota II.1.13b'!B64</f>
        <v>9169830.9800000004</v>
      </c>
      <c r="D345" s="506">
        <f>'[1]Nota II.1.13b'!C64</f>
        <v>7377355.1100000003</v>
      </c>
    </row>
    <row r="346" spans="1:5" x14ac:dyDescent="0.25">
      <c r="A346" s="507" t="s">
        <v>351</v>
      </c>
      <c r="B346" s="508"/>
      <c r="C346" s="506">
        <f>'[1]Nota II.1.13b'!B65</f>
        <v>626806.06000000006</v>
      </c>
      <c r="D346" s="506">
        <f>'[1]Nota II.1.13b'!C65</f>
        <v>342612.88</v>
      </c>
    </row>
    <row r="347" spans="1:5" ht="17.25" customHeight="1" x14ac:dyDescent="0.25">
      <c r="A347" s="507" t="s">
        <v>352</v>
      </c>
      <c r="B347" s="508"/>
      <c r="C347" s="506">
        <f>'[1]Nota II.1.13b'!B66</f>
        <v>16332.84</v>
      </c>
      <c r="D347" s="506">
        <f>'[1]Nota II.1.13b'!C66</f>
        <v>0</v>
      </c>
    </row>
    <row r="348" spans="1:5" ht="16.5" customHeight="1" x14ac:dyDescent="0.25">
      <c r="A348" s="507" t="s">
        <v>353</v>
      </c>
      <c r="B348" s="508"/>
      <c r="C348" s="506">
        <f>'[1]Nota II.1.13b'!B67</f>
        <v>0</v>
      </c>
      <c r="D348" s="506">
        <f>'[1]Nota II.1.13b'!C67</f>
        <v>0</v>
      </c>
    </row>
    <row r="349" spans="1:5" x14ac:dyDescent="0.25">
      <c r="A349" s="507" t="s">
        <v>354</v>
      </c>
      <c r="B349" s="508"/>
      <c r="C349" s="506">
        <f>'[1]Nota II.1.13b'!B68</f>
        <v>1357692.28</v>
      </c>
      <c r="D349" s="506">
        <f>'[1]Nota II.1.13b'!C68</f>
        <v>20198321.129999999</v>
      </c>
    </row>
    <row r="350" spans="1:5" ht="13.5" thickBot="1" x14ac:dyDescent="0.3">
      <c r="A350" s="509" t="s">
        <v>355</v>
      </c>
      <c r="B350" s="510"/>
      <c r="C350" s="503">
        <f>C351+C352+C354</f>
        <v>0</v>
      </c>
      <c r="D350" s="511">
        <f>D351+D352+D354</f>
        <v>0</v>
      </c>
    </row>
    <row r="351" spans="1:5" ht="13.5" hidden="1" thickBot="1" x14ac:dyDescent="0.3">
      <c r="A351" s="512" t="s">
        <v>356</v>
      </c>
      <c r="B351" s="513"/>
      <c r="C351" s="506">
        <f>'[1]Nota II.1.13b'!B70</f>
        <v>0</v>
      </c>
      <c r="D351" s="506">
        <f>'[1]Nota II.1.13b'!C70</f>
        <v>0</v>
      </c>
    </row>
    <row r="352" spans="1:5" ht="13.5" hidden="1" thickBot="1" x14ac:dyDescent="0.3">
      <c r="A352" s="512" t="s">
        <v>357</v>
      </c>
      <c r="B352" s="513"/>
      <c r="C352" s="506">
        <f>'[1]Nota II.1.13b'!B71</f>
        <v>0</v>
      </c>
      <c r="D352" s="506">
        <f>'[1]Nota II.1.13b'!C71</f>
        <v>0</v>
      </c>
    </row>
    <row r="353" spans="1:5" ht="13.5" hidden="1" thickBot="1" x14ac:dyDescent="0.3">
      <c r="A353" s="512" t="s">
        <v>358</v>
      </c>
      <c r="B353" s="513"/>
      <c r="C353" s="506">
        <f>'[1]Nota II.1.13b'!B72</f>
        <v>0</v>
      </c>
      <c r="D353" s="506">
        <f>'[1]Nota II.1.13b'!C72</f>
        <v>0</v>
      </c>
    </row>
    <row r="354" spans="1:5" ht="13.5" hidden="1" thickBot="1" x14ac:dyDescent="0.3">
      <c r="A354" s="514" t="s">
        <v>354</v>
      </c>
      <c r="B354" s="515"/>
      <c r="C354" s="506">
        <f>'[1]Nota II.1.13b'!B73</f>
        <v>0</v>
      </c>
      <c r="D354" s="506">
        <f>'[1]Nota II.1.13b'!C73</f>
        <v>0</v>
      </c>
    </row>
    <row r="355" spans="1:5" ht="13.5" thickBot="1" x14ac:dyDescent="0.3">
      <c r="A355" s="495" t="s">
        <v>264</v>
      </c>
      <c r="B355" s="496"/>
      <c r="C355" s="516">
        <f>C342+C350</f>
        <v>120105120.26000001</v>
      </c>
      <c r="D355" s="516">
        <f>D342+D350</f>
        <v>140817824.39000002</v>
      </c>
    </row>
    <row r="358" spans="1:5" ht="26.25" customHeight="1" x14ac:dyDescent="0.25">
      <c r="A358" s="517" t="s">
        <v>359</v>
      </c>
      <c r="B358" s="319"/>
      <c r="C358" s="319"/>
      <c r="D358" s="319"/>
    </row>
    <row r="359" spans="1:5" ht="13.5" thickBot="1" x14ac:dyDescent="0.3">
      <c r="B359" s="410"/>
    </row>
    <row r="360" spans="1:5" ht="13.5" thickBot="1" x14ac:dyDescent="0.3">
      <c r="A360" s="518"/>
      <c r="B360" s="519"/>
      <c r="C360" s="520" t="s">
        <v>281</v>
      </c>
      <c r="D360" s="411" t="s">
        <v>8</v>
      </c>
    </row>
    <row r="361" spans="1:5" ht="13.5" thickBot="1" x14ac:dyDescent="0.3">
      <c r="A361" s="521" t="s">
        <v>360</v>
      </c>
      <c r="B361" s="522"/>
      <c r="C361" s="523">
        <f>'[1]Nota II.1.14'!C19</f>
        <v>213422757.00999999</v>
      </c>
      <c r="D361" s="523">
        <f>'[1]Nota II.1.14'!D19</f>
        <v>262685156.75999999</v>
      </c>
    </row>
    <row r="362" spans="1:5" ht="13.5" thickBot="1" x14ac:dyDescent="0.3">
      <c r="A362" s="477" t="s">
        <v>264</v>
      </c>
      <c r="B362" s="478"/>
      <c r="C362" s="444">
        <f>SUM(C361:C361)</f>
        <v>213422757.00999999</v>
      </c>
      <c r="D362" s="444">
        <f>SUM(D361:D361)</f>
        <v>262685156.75999999</v>
      </c>
    </row>
    <row r="365" spans="1:5" x14ac:dyDescent="0.2">
      <c r="A365" s="517" t="s">
        <v>361</v>
      </c>
      <c r="B365" s="319"/>
      <c r="C365" s="319"/>
      <c r="D365" s="319"/>
      <c r="E365" s="221"/>
    </row>
    <row r="366" spans="1:5" ht="13.5" thickBot="1" x14ac:dyDescent="0.25">
      <c r="E366" s="149"/>
    </row>
    <row r="367" spans="1:5" ht="26.25" thickBot="1" x14ac:dyDescent="0.25">
      <c r="A367" s="524" t="s">
        <v>191</v>
      </c>
      <c r="B367" s="525"/>
      <c r="C367" s="289" t="s">
        <v>362</v>
      </c>
      <c r="D367" s="289" t="s">
        <v>363</v>
      </c>
      <c r="E367" s="149"/>
    </row>
    <row r="368" spans="1:5" ht="13.5" thickBot="1" x14ac:dyDescent="0.25">
      <c r="A368" s="526" t="s">
        <v>364</v>
      </c>
      <c r="B368" s="473"/>
      <c r="C368" s="527">
        <f>'[1]Nota II.1.15'!C17</f>
        <v>24750629.579999998</v>
      </c>
      <c r="D368" s="528">
        <f>'[1]Nota II.1.15'!D17</f>
        <v>22842092.629999999</v>
      </c>
      <c r="E368" s="149"/>
    </row>
    <row r="369" spans="1:11" x14ac:dyDescent="0.2">
      <c r="A369" s="149"/>
      <c r="B369" s="149"/>
      <c r="C369" s="149"/>
      <c r="D369" s="149"/>
      <c r="E369" s="149"/>
    </row>
    <row r="370" spans="1:11" x14ac:dyDescent="0.2">
      <c r="A370" s="149"/>
      <c r="B370" s="149"/>
      <c r="C370" s="149"/>
      <c r="D370" s="149"/>
      <c r="E370" s="149"/>
    </row>
    <row r="371" spans="1:11" x14ac:dyDescent="0.2">
      <c r="A371" s="149"/>
      <c r="B371" s="149"/>
      <c r="C371" s="149"/>
      <c r="D371" s="149"/>
      <c r="E371" s="149"/>
    </row>
    <row r="372" spans="1:11" x14ac:dyDescent="0.2">
      <c r="A372" s="149"/>
      <c r="B372" s="149"/>
      <c r="C372" s="149"/>
      <c r="D372" s="149"/>
      <c r="E372" s="149"/>
    </row>
    <row r="373" spans="1:11" ht="29.25" customHeight="1" x14ac:dyDescent="0.2">
      <c r="A373" s="529"/>
      <c r="B373" s="108"/>
      <c r="C373" s="108"/>
      <c r="D373" s="221"/>
      <c r="E373" s="221"/>
    </row>
    <row r="378" spans="1:11" x14ac:dyDescent="0.25">
      <c r="A378" s="530" t="s">
        <v>365</v>
      </c>
      <c r="B378" s="530"/>
      <c r="C378" s="530"/>
      <c r="D378" s="530"/>
      <c r="E378" s="530"/>
      <c r="F378" s="530"/>
      <c r="G378" s="530"/>
      <c r="H378" s="530"/>
      <c r="I378" s="530"/>
    </row>
    <row r="380" spans="1:11" x14ac:dyDescent="0.25">
      <c r="A380" s="530" t="s">
        <v>366</v>
      </c>
      <c r="B380" s="530"/>
      <c r="C380" s="530"/>
      <c r="D380" s="530"/>
      <c r="E380" s="530"/>
      <c r="F380" s="530"/>
      <c r="G380" s="530"/>
      <c r="H380" s="530"/>
      <c r="I380" s="530"/>
    </row>
    <row r="381" spans="1:11" ht="13.5" thickBot="1" x14ac:dyDescent="0.3">
      <c r="A381" s="531"/>
      <c r="B381" s="531"/>
      <c r="C381" s="531"/>
      <c r="D381" s="531"/>
      <c r="E381" s="531"/>
      <c r="F381" s="531"/>
      <c r="G381" s="531"/>
      <c r="H381" s="531"/>
      <c r="I381" s="532"/>
    </row>
    <row r="382" spans="1:11" ht="26.25" thickBot="1" x14ac:dyDescent="0.3">
      <c r="A382" s="324" t="s">
        <v>367</v>
      </c>
      <c r="B382" s="366" t="s">
        <v>368</v>
      </c>
      <c r="C382" s="367"/>
      <c r="D382" s="533"/>
      <c r="E382" s="534" t="s">
        <v>215</v>
      </c>
      <c r="F382" s="366" t="s">
        <v>369</v>
      </c>
      <c r="G382" s="367"/>
      <c r="H382" s="533"/>
      <c r="I382" s="535" t="s">
        <v>264</v>
      </c>
      <c r="J382" s="536"/>
      <c r="K382" s="537"/>
    </row>
    <row r="383" spans="1:11" ht="64.5" thickBot="1" x14ac:dyDescent="0.3">
      <c r="A383" s="332"/>
      <c r="B383" s="538" t="s">
        <v>370</v>
      </c>
      <c r="C383" s="539" t="s">
        <v>371</v>
      </c>
      <c r="D383" s="540" t="s">
        <v>219</v>
      </c>
      <c r="E383" s="541" t="s">
        <v>372</v>
      </c>
      <c r="F383" s="538" t="s">
        <v>370</v>
      </c>
      <c r="G383" s="539" t="s">
        <v>373</v>
      </c>
      <c r="H383" s="540" t="s">
        <v>374</v>
      </c>
      <c r="I383" s="542"/>
      <c r="J383" s="543"/>
      <c r="K383" s="537"/>
    </row>
    <row r="384" spans="1:11" ht="26.25" thickBot="1" x14ac:dyDescent="0.3">
      <c r="A384" s="544" t="s">
        <v>196</v>
      </c>
      <c r="B384" s="545">
        <f>'[1]Nota II.1.16a'!B35</f>
        <v>5079777246.6499996</v>
      </c>
      <c r="C384" s="546">
        <f>'[1]Nota II.1.16a'!C35</f>
        <v>0</v>
      </c>
      <c r="D384" s="547">
        <f>'[1]Nota II.1.16a'!D35</f>
        <v>0</v>
      </c>
      <c r="E384" s="548">
        <f>'[1]Nota II.1.16a'!E35</f>
        <v>67233302.040000007</v>
      </c>
      <c r="F384" s="545">
        <f>'[1]Nota II.1.16a'!F35</f>
        <v>0</v>
      </c>
      <c r="G384" s="546">
        <f>'[1]Nota II.1.16a'!G35</f>
        <v>0</v>
      </c>
      <c r="H384" s="547">
        <f>'[1]Nota II.1.16a'!H35</f>
        <v>0</v>
      </c>
      <c r="I384" s="549">
        <f>SUM(B384:H384)</f>
        <v>5147010548.6899996</v>
      </c>
      <c r="J384" s="550"/>
      <c r="K384" s="551"/>
    </row>
    <row r="385" spans="1:11" ht="13.5" thickBot="1" x14ac:dyDescent="0.3">
      <c r="A385" s="552" t="s">
        <v>184</v>
      </c>
      <c r="B385" s="553">
        <f t="shared" ref="B385:I385" si="16">SUM(B386:B388)</f>
        <v>616966650.21000004</v>
      </c>
      <c r="C385" s="554">
        <f t="shared" si="16"/>
        <v>0</v>
      </c>
      <c r="D385" s="555">
        <f t="shared" si="16"/>
        <v>0</v>
      </c>
      <c r="E385" s="552">
        <f t="shared" si="16"/>
        <v>0</v>
      </c>
      <c r="F385" s="553">
        <f t="shared" si="16"/>
        <v>0</v>
      </c>
      <c r="G385" s="554">
        <f t="shared" si="16"/>
        <v>0</v>
      </c>
      <c r="H385" s="556">
        <f t="shared" si="16"/>
        <v>0</v>
      </c>
      <c r="I385" s="552">
        <f t="shared" si="16"/>
        <v>616966650.21000004</v>
      </c>
      <c r="J385" s="557"/>
      <c r="K385" s="557"/>
    </row>
    <row r="386" spans="1:11" x14ac:dyDescent="0.25">
      <c r="A386" s="558" t="s">
        <v>375</v>
      </c>
      <c r="B386" s="559">
        <f>'[1]Nota II.1.16a'!B37</f>
        <v>616966650.21000004</v>
      </c>
      <c r="C386" s="560">
        <f>'[1]Nota II.1.16a'!C37</f>
        <v>0</v>
      </c>
      <c r="D386" s="561">
        <f>'[1]Nota II.1.16a'!D37</f>
        <v>0</v>
      </c>
      <c r="E386" s="562">
        <f>'[1]Nota II.1.16a'!E37</f>
        <v>0</v>
      </c>
      <c r="F386" s="559">
        <f>'[1]Nota II.1.16a'!F37</f>
        <v>0</v>
      </c>
      <c r="G386" s="563">
        <f>'[1]Nota II.1.16a'!G37</f>
        <v>0</v>
      </c>
      <c r="H386" s="561">
        <f>'[1]Nota II.1.16a'!H37</f>
        <v>0</v>
      </c>
      <c r="I386" s="564">
        <f>SUM(B386:H386)</f>
        <v>616966650.21000004</v>
      </c>
      <c r="J386" s="565"/>
      <c r="K386" s="566"/>
    </row>
    <row r="387" spans="1:11" x14ac:dyDescent="0.25">
      <c r="A387" s="567" t="s">
        <v>376</v>
      </c>
      <c r="B387" s="559">
        <f>'[1]Nota II.1.16a'!B38</f>
        <v>0</v>
      </c>
      <c r="C387" s="563">
        <f>'[1]Nota II.1.16a'!C38</f>
        <v>0</v>
      </c>
      <c r="D387" s="561">
        <f>'[1]Nota II.1.16a'!D38</f>
        <v>0</v>
      </c>
      <c r="E387" s="562">
        <f>'[1]Nota II.1.16a'!E38</f>
        <v>0</v>
      </c>
      <c r="F387" s="559">
        <f>'[1]Nota II.1.16a'!F38</f>
        <v>0</v>
      </c>
      <c r="G387" s="563">
        <f>'[1]Nota II.1.16a'!G38</f>
        <v>0</v>
      </c>
      <c r="H387" s="561">
        <f>'[1]Nota II.1.16a'!H38</f>
        <v>0</v>
      </c>
      <c r="I387" s="564">
        <f>SUM(B387:H387)</f>
        <v>0</v>
      </c>
      <c r="J387" s="565"/>
      <c r="K387" s="566"/>
    </row>
    <row r="388" spans="1:11" ht="13.5" thickBot="1" x14ac:dyDescent="0.3">
      <c r="A388" s="568" t="s">
        <v>377</v>
      </c>
      <c r="B388" s="559">
        <f>'[1]Nota II.1.16a'!B39</f>
        <v>0</v>
      </c>
      <c r="C388" s="569">
        <f>'[1]Nota II.1.16a'!C39</f>
        <v>0</v>
      </c>
      <c r="D388" s="561">
        <f>'[1]Nota II.1.16a'!D39</f>
        <v>0</v>
      </c>
      <c r="E388" s="562">
        <f>'[1]Nota II.1.16a'!E39</f>
        <v>0</v>
      </c>
      <c r="F388" s="559">
        <f>'[1]Nota II.1.16a'!F39</f>
        <v>0</v>
      </c>
      <c r="G388" s="563">
        <f>'[1]Nota II.1.16a'!G39</f>
        <v>0</v>
      </c>
      <c r="H388" s="561">
        <f>'[1]Nota II.1.16a'!H39</f>
        <v>0</v>
      </c>
      <c r="I388" s="564">
        <f>SUM(B388:H388)</f>
        <v>0</v>
      </c>
      <c r="J388" s="565"/>
      <c r="K388" s="566"/>
    </row>
    <row r="389" spans="1:11" ht="13.5" thickBot="1" x14ac:dyDescent="0.3">
      <c r="A389" s="552" t="s">
        <v>185</v>
      </c>
      <c r="B389" s="545">
        <f t="shared" ref="B389:I389" si="17">SUM(B390:B393)</f>
        <v>93595705</v>
      </c>
      <c r="C389" s="546">
        <f t="shared" si="17"/>
        <v>0</v>
      </c>
      <c r="D389" s="547">
        <f t="shared" si="17"/>
        <v>0</v>
      </c>
      <c r="E389" s="549">
        <f t="shared" si="17"/>
        <v>95869.62</v>
      </c>
      <c r="F389" s="545">
        <f t="shared" si="17"/>
        <v>0</v>
      </c>
      <c r="G389" s="546">
        <f t="shared" si="17"/>
        <v>0</v>
      </c>
      <c r="H389" s="570">
        <f t="shared" si="17"/>
        <v>0</v>
      </c>
      <c r="I389" s="549">
        <f t="shared" si="17"/>
        <v>93691574.620000005</v>
      </c>
      <c r="J389" s="550"/>
      <c r="K389" s="550"/>
    </row>
    <row r="390" spans="1:11" x14ac:dyDescent="0.25">
      <c r="A390" s="571" t="s">
        <v>378</v>
      </c>
      <c r="B390" s="572">
        <f>'[1]Nota II.1.16a'!B43</f>
        <v>93595705</v>
      </c>
      <c r="C390" s="560">
        <f>'[1]Nota II.1.16a'!C43</f>
        <v>0</v>
      </c>
      <c r="D390" s="573">
        <f>'[1]Nota II.1.16a'!D43</f>
        <v>0</v>
      </c>
      <c r="E390" s="574">
        <f>'[1]Nota II.1.16a'!E43</f>
        <v>0</v>
      </c>
      <c r="F390" s="572">
        <f>'[1]Nota II.1.16a'!F43</f>
        <v>0</v>
      </c>
      <c r="G390" s="575">
        <f>'[1]Nota II.1.16a'!G43</f>
        <v>0</v>
      </c>
      <c r="H390" s="573">
        <f>'[1]Nota II.1.16a'!H43</f>
        <v>0</v>
      </c>
      <c r="I390" s="564">
        <f>SUM(B390:H390)</f>
        <v>93595705</v>
      </c>
      <c r="J390" s="565"/>
      <c r="K390" s="566"/>
    </row>
    <row r="391" spans="1:11" ht="13.5" customHeight="1" x14ac:dyDescent="0.25">
      <c r="A391" s="571" t="s">
        <v>379</v>
      </c>
      <c r="B391" s="572">
        <f>'[1]Nota II.1.16a'!B44</f>
        <v>0</v>
      </c>
      <c r="C391" s="575">
        <f>'[1]Nota II.1.16a'!C44</f>
        <v>0</v>
      </c>
      <c r="D391" s="573">
        <f>'[1]Nota II.1.16a'!D44</f>
        <v>0</v>
      </c>
      <c r="E391" s="574">
        <f>'[1]Nota II.1.16a'!E44</f>
        <v>0</v>
      </c>
      <c r="F391" s="572">
        <f>'[1]Nota II.1.16a'!F44</f>
        <v>0</v>
      </c>
      <c r="G391" s="575">
        <f>'[1]Nota II.1.16a'!G44</f>
        <v>0</v>
      </c>
      <c r="H391" s="573">
        <f>'[1]Nota II.1.16a'!H44</f>
        <v>0</v>
      </c>
      <c r="I391" s="564">
        <f>SUM(B391:H391)</f>
        <v>0</v>
      </c>
      <c r="J391" s="565"/>
      <c r="K391" s="566"/>
    </row>
    <row r="392" spans="1:11" x14ac:dyDescent="0.25">
      <c r="A392" s="571" t="s">
        <v>380</v>
      </c>
      <c r="B392" s="572">
        <f>'[1]Nota II.1.16a'!B45</f>
        <v>0</v>
      </c>
      <c r="C392" s="575">
        <f>'[1]Nota II.1.16a'!C45</f>
        <v>0</v>
      </c>
      <c r="D392" s="573">
        <f>'[1]Nota II.1.16a'!D45</f>
        <v>0</v>
      </c>
      <c r="E392" s="574">
        <f>'[1]Nota II.1.16a'!E45</f>
        <v>0</v>
      </c>
      <c r="F392" s="572">
        <f>'[1]Nota II.1.16a'!F45</f>
        <v>0</v>
      </c>
      <c r="G392" s="575">
        <f>'[1]Nota II.1.16a'!G45</f>
        <v>0</v>
      </c>
      <c r="H392" s="573">
        <f>'[1]Nota II.1.16a'!H45</f>
        <v>0</v>
      </c>
      <c r="I392" s="564">
        <f>SUM(B392:H392)</f>
        <v>0</v>
      </c>
      <c r="J392" s="565"/>
      <c r="K392" s="566"/>
    </row>
    <row r="393" spans="1:11" ht="13.5" thickBot="1" x14ac:dyDescent="0.3">
      <c r="A393" s="576" t="s">
        <v>381</v>
      </c>
      <c r="B393" s="572">
        <f>'[1]Nota II.1.16a'!B46</f>
        <v>0</v>
      </c>
      <c r="C393" s="386">
        <f>'[1]Nota II.1.16a'!C46</f>
        <v>0</v>
      </c>
      <c r="D393" s="573">
        <f>'[1]Nota II.1.16a'!D46</f>
        <v>0</v>
      </c>
      <c r="E393" s="574">
        <f>'[1]Nota II.1.16a'!E46</f>
        <v>95869.62</v>
      </c>
      <c r="F393" s="572">
        <f>'[1]Nota II.1.16a'!F46</f>
        <v>0</v>
      </c>
      <c r="G393" s="575">
        <f>'[1]Nota II.1.16a'!G46</f>
        <v>0</v>
      </c>
      <c r="H393" s="573">
        <f>'[1]Nota II.1.16a'!H46</f>
        <v>0</v>
      </c>
      <c r="I393" s="564">
        <f>SUM(B393:H393)</f>
        <v>95869.62</v>
      </c>
      <c r="J393" s="565"/>
      <c r="K393" s="566"/>
    </row>
    <row r="394" spans="1:11" ht="26.25" thickBot="1" x14ac:dyDescent="0.3">
      <c r="A394" s="577" t="s">
        <v>202</v>
      </c>
      <c r="B394" s="578">
        <f t="shared" ref="B394:I394" si="18">B384+B385-B389</f>
        <v>5603148191.8599997</v>
      </c>
      <c r="C394" s="579">
        <f t="shared" si="18"/>
        <v>0</v>
      </c>
      <c r="D394" s="580">
        <f t="shared" si="18"/>
        <v>0</v>
      </c>
      <c r="E394" s="581">
        <f t="shared" si="18"/>
        <v>67137432.420000002</v>
      </c>
      <c r="F394" s="578">
        <f t="shared" si="18"/>
        <v>0</v>
      </c>
      <c r="G394" s="579">
        <f t="shared" si="18"/>
        <v>0</v>
      </c>
      <c r="H394" s="582">
        <f t="shared" si="18"/>
        <v>0</v>
      </c>
      <c r="I394" s="581">
        <f t="shared" si="18"/>
        <v>5670285624.2799997</v>
      </c>
      <c r="J394" s="565"/>
      <c r="K394" s="566"/>
    </row>
    <row r="395" spans="1:11" ht="39" customHeight="1" thickBot="1" x14ac:dyDescent="0.3">
      <c r="A395" s="544" t="s">
        <v>382</v>
      </c>
      <c r="B395" s="583">
        <f>'[1]Nota II.1.16a'!B49</f>
        <v>55841426.5</v>
      </c>
      <c r="C395" s="584">
        <f>'[1]Nota II.1.16a'!C49</f>
        <v>0</v>
      </c>
      <c r="D395" s="585">
        <f>'[1]Nota II.1.16a'!D49</f>
        <v>0</v>
      </c>
      <c r="E395" s="586">
        <f>'[1]Nota II.1.16a'!E49</f>
        <v>45739877.479999997</v>
      </c>
      <c r="F395" s="583">
        <f>'[1]Nota II.1.16a'!F49</f>
        <v>0</v>
      </c>
      <c r="G395" s="584">
        <f>'[1]Nota II.1.16a'!G49</f>
        <v>0</v>
      </c>
      <c r="H395" s="585">
        <f>'[1]Nota II.1.16a'!H49</f>
        <v>0</v>
      </c>
      <c r="I395" s="587">
        <f>SUM(B395:H395)</f>
        <v>101581303.97999999</v>
      </c>
      <c r="J395" s="551"/>
      <c r="K395" s="551"/>
    </row>
    <row r="396" spans="1:11" ht="13.5" thickBot="1" x14ac:dyDescent="0.3">
      <c r="A396" s="588" t="s">
        <v>184</v>
      </c>
      <c r="B396" s="589">
        <f>'[1]Nota II.1.16a'!B50</f>
        <v>3183779.04</v>
      </c>
      <c r="C396" s="590">
        <f>'[1]Nota II.1.16a'!C50</f>
        <v>0</v>
      </c>
      <c r="D396" s="591">
        <f>'[1]Nota II.1.16a'!D50</f>
        <v>0</v>
      </c>
      <c r="E396" s="592">
        <f>'[1]Nota II.1.16a'!E50</f>
        <v>2982116.94</v>
      </c>
      <c r="F396" s="589">
        <f>'[1]Nota II.1.16a'!F50</f>
        <v>0</v>
      </c>
      <c r="G396" s="590">
        <f>'[1]Nota II.1.16a'!G50</f>
        <v>0</v>
      </c>
      <c r="H396" s="591">
        <f>'[1]Nota II.1.16a'!H50</f>
        <v>0</v>
      </c>
      <c r="I396" s="593">
        <f>SUM(B396:H396)</f>
        <v>6165895.9800000004</v>
      </c>
    </row>
    <row r="397" spans="1:11" ht="13.5" thickBot="1" x14ac:dyDescent="0.3">
      <c r="A397" s="594" t="s">
        <v>185</v>
      </c>
      <c r="B397" s="589">
        <f>'[1]Nota II.1.16a'!B51</f>
        <v>13022026.810000001</v>
      </c>
      <c r="C397" s="590">
        <f>'[1]Nota II.1.16a'!C51</f>
        <v>0</v>
      </c>
      <c r="D397" s="591">
        <f>'[1]Nota II.1.16a'!D51</f>
        <v>0</v>
      </c>
      <c r="E397" s="592">
        <f>'[1]Nota II.1.16a'!E51</f>
        <v>0</v>
      </c>
      <c r="F397" s="589">
        <f>'[1]Nota II.1.16a'!F51</f>
        <v>0</v>
      </c>
      <c r="G397" s="590">
        <f>'[1]Nota II.1.16a'!G51</f>
        <v>0</v>
      </c>
      <c r="H397" s="591">
        <f>'[1]Nota II.1.16a'!H51</f>
        <v>0</v>
      </c>
      <c r="I397" s="595">
        <f>SUM(B397:H397)</f>
        <v>13022026.810000001</v>
      </c>
    </row>
    <row r="398" spans="1:11" ht="39" thickBot="1" x14ac:dyDescent="0.3">
      <c r="A398" s="596" t="s">
        <v>383</v>
      </c>
      <c r="B398" s="583">
        <f>B395+B396-B397</f>
        <v>46003178.729999997</v>
      </c>
      <c r="C398" s="584">
        <f t="shared" ref="C398:I398" si="19">C395+C396-C397</f>
        <v>0</v>
      </c>
      <c r="D398" s="597">
        <f t="shared" si="19"/>
        <v>0</v>
      </c>
      <c r="E398" s="587">
        <f t="shared" si="19"/>
        <v>48721994.419999994</v>
      </c>
      <c r="F398" s="583">
        <f t="shared" si="19"/>
        <v>0</v>
      </c>
      <c r="G398" s="584">
        <f t="shared" si="19"/>
        <v>0</v>
      </c>
      <c r="H398" s="597">
        <f t="shared" si="19"/>
        <v>0</v>
      </c>
      <c r="I398" s="587">
        <f t="shared" si="19"/>
        <v>94725173.149999991</v>
      </c>
    </row>
    <row r="399" spans="1:11" ht="26.25" thickBot="1" x14ac:dyDescent="0.3">
      <c r="A399" s="598" t="s">
        <v>384</v>
      </c>
      <c r="B399" s="599">
        <f t="shared" ref="B399:I399" si="20">B384-B395</f>
        <v>5023935820.1499996</v>
      </c>
      <c r="C399" s="600">
        <f t="shared" si="20"/>
        <v>0</v>
      </c>
      <c r="D399" s="601">
        <f t="shared" si="20"/>
        <v>0</v>
      </c>
      <c r="E399" s="407">
        <f t="shared" si="20"/>
        <v>21493424.56000001</v>
      </c>
      <c r="F399" s="599">
        <f t="shared" si="20"/>
        <v>0</v>
      </c>
      <c r="G399" s="600">
        <f t="shared" si="20"/>
        <v>0</v>
      </c>
      <c r="H399" s="601">
        <f t="shared" si="20"/>
        <v>0</v>
      </c>
      <c r="I399" s="407">
        <f t="shared" si="20"/>
        <v>5045429244.71</v>
      </c>
    </row>
    <row r="400" spans="1:11" ht="25.15" customHeight="1" thickBot="1" x14ac:dyDescent="0.3">
      <c r="A400" s="602" t="s">
        <v>385</v>
      </c>
      <c r="B400" s="599">
        <f>B394-B398</f>
        <v>5557145013.1300001</v>
      </c>
      <c r="C400" s="600">
        <f t="shared" ref="C400:I400" si="21">C394-C398</f>
        <v>0</v>
      </c>
      <c r="D400" s="601">
        <f t="shared" si="21"/>
        <v>0</v>
      </c>
      <c r="E400" s="407">
        <f t="shared" si="21"/>
        <v>18415438.000000007</v>
      </c>
      <c r="F400" s="599">
        <f t="shared" si="21"/>
        <v>0</v>
      </c>
      <c r="G400" s="600">
        <f t="shared" si="21"/>
        <v>0</v>
      </c>
      <c r="H400" s="601">
        <f t="shared" si="21"/>
        <v>0</v>
      </c>
      <c r="I400" s="407">
        <f t="shared" si="21"/>
        <v>5575560451.1300001</v>
      </c>
    </row>
    <row r="401" spans="1:9" x14ac:dyDescent="0.25">
      <c r="A401" s="365"/>
      <c r="B401" s="603"/>
      <c r="C401" s="603"/>
      <c r="E401" s="604"/>
      <c r="F401" s="604"/>
      <c r="G401" s="604"/>
      <c r="H401" s="604"/>
      <c r="I401" s="604"/>
    </row>
    <row r="402" spans="1:9" x14ac:dyDescent="0.25">
      <c r="A402" s="365"/>
      <c r="B402" s="603"/>
      <c r="C402" s="603"/>
      <c r="E402" s="604"/>
      <c r="F402" s="604"/>
      <c r="G402" s="604"/>
      <c r="H402" s="604"/>
      <c r="I402" s="604"/>
    </row>
    <row r="403" spans="1:9" x14ac:dyDescent="0.25">
      <c r="A403" s="365"/>
      <c r="B403" s="603"/>
      <c r="C403" s="603"/>
      <c r="E403" s="604"/>
      <c r="F403" s="604"/>
      <c r="G403" s="604"/>
      <c r="H403" s="604"/>
      <c r="I403" s="604"/>
    </row>
    <row r="404" spans="1:9" x14ac:dyDescent="0.25">
      <c r="A404" s="283" t="s">
        <v>386</v>
      </c>
      <c r="B404" s="605"/>
      <c r="C404" s="605"/>
      <c r="E404" s="604"/>
      <c r="F404" s="604"/>
      <c r="G404" s="604"/>
      <c r="H404" s="604"/>
      <c r="I404" s="604"/>
    </row>
    <row r="405" spans="1:9" ht="13.5" thickBot="1" x14ac:dyDescent="0.3">
      <c r="A405" s="365"/>
      <c r="B405" s="603"/>
      <c r="C405" s="603"/>
      <c r="E405" s="604"/>
      <c r="F405" s="604"/>
      <c r="G405" s="604"/>
      <c r="H405" s="604"/>
      <c r="I405" s="604"/>
    </row>
    <row r="406" spans="1:9" ht="13.5" thickBot="1" x14ac:dyDescent="0.3">
      <c r="A406" s="606"/>
      <c r="B406" s="607"/>
      <c r="C406" s="608" t="s">
        <v>7</v>
      </c>
      <c r="D406" s="475" t="s">
        <v>285</v>
      </c>
    </row>
    <row r="407" spans="1:9" x14ac:dyDescent="0.25">
      <c r="A407" s="609" t="s">
        <v>387</v>
      </c>
      <c r="B407" s="610"/>
      <c r="C407" s="611">
        <f>'[1]Nota II.1.16b'!B31</f>
        <v>4544055.7</v>
      </c>
      <c r="D407" s="611">
        <f>'[1]Nota II.1.16b'!C31</f>
        <v>6267281.1900000004</v>
      </c>
      <c r="E407" s="612"/>
      <c r="F407" s="612"/>
      <c r="G407" s="612"/>
      <c r="H407" s="612"/>
      <c r="I407" s="612"/>
    </row>
    <row r="408" spans="1:9" x14ac:dyDescent="0.25">
      <c r="A408" s="613" t="s">
        <v>388</v>
      </c>
      <c r="B408" s="614"/>
      <c r="C408" s="615">
        <f>'[1]Nota II.1.16b'!B32</f>
        <v>52533024.710000001</v>
      </c>
      <c r="D408" s="615">
        <f>'[1]Nota II.1.16b'!C32</f>
        <v>29345836.539999999</v>
      </c>
      <c r="E408" s="616"/>
      <c r="F408" s="616"/>
      <c r="G408" s="616"/>
      <c r="H408" s="616"/>
      <c r="I408" s="616"/>
    </row>
    <row r="409" spans="1:9" x14ac:dyDescent="0.25">
      <c r="A409" s="613" t="s">
        <v>389</v>
      </c>
      <c r="B409" s="614"/>
      <c r="C409" s="615">
        <f>'[1]Nota II.1.16b'!B33</f>
        <v>129.99</v>
      </c>
      <c r="D409" s="615">
        <f>'[1]Nota II.1.16b'!C33</f>
        <v>129.99</v>
      </c>
      <c r="E409" s="617"/>
      <c r="F409" s="617"/>
      <c r="G409" s="617"/>
      <c r="H409" s="617"/>
      <c r="I409" s="617"/>
    </row>
    <row r="410" spans="1:9" x14ac:dyDescent="0.25">
      <c r="A410" s="618" t="s">
        <v>390</v>
      </c>
      <c r="B410" s="619"/>
      <c r="C410" s="620">
        <f>C411+C414+C415+C416+C417</f>
        <v>292321083.63999999</v>
      </c>
      <c r="D410" s="620">
        <f>D411+D414+D415+D416+D417</f>
        <v>245728217.93000001</v>
      </c>
    </row>
    <row r="411" spans="1:9" x14ac:dyDescent="0.25">
      <c r="A411" s="486" t="s">
        <v>391</v>
      </c>
      <c r="B411" s="487"/>
      <c r="C411" s="621">
        <f>C412-C413</f>
        <v>2322252.6200000048</v>
      </c>
      <c r="D411" s="621">
        <f>D412-D413</f>
        <v>4737217.4600000083</v>
      </c>
    </row>
    <row r="412" spans="1:9" x14ac:dyDescent="0.25">
      <c r="A412" s="622" t="s">
        <v>392</v>
      </c>
      <c r="B412" s="623"/>
      <c r="C412" s="624">
        <f>'[1]Nota II.1.16b'!B36</f>
        <v>242801470.53</v>
      </c>
      <c r="D412" s="624">
        <f>'[1]Nota II.1.16b'!C36</f>
        <v>224057273.36000001</v>
      </c>
    </row>
    <row r="413" spans="1:9" ht="25.5" customHeight="1" x14ac:dyDescent="0.25">
      <c r="A413" s="622" t="s">
        <v>393</v>
      </c>
      <c r="B413" s="623"/>
      <c r="C413" s="624">
        <f>'[1]Nota II.1.16b'!B37</f>
        <v>240479217.91</v>
      </c>
      <c r="D413" s="624">
        <f>'[1]Nota II.1.16b'!C37</f>
        <v>219320055.90000001</v>
      </c>
    </row>
    <row r="414" spans="1:9" x14ac:dyDescent="0.25">
      <c r="A414" s="625" t="s">
        <v>394</v>
      </c>
      <c r="B414" s="626"/>
      <c r="C414" s="621">
        <f>'[1]Nota II.1.16b'!B38</f>
        <v>5890237.0999999996</v>
      </c>
      <c r="D414" s="621">
        <f>'[1]Nota II.1.16b'!C38</f>
        <v>6688000.21</v>
      </c>
    </row>
    <row r="415" spans="1:9" x14ac:dyDescent="0.25">
      <c r="A415" s="625" t="s">
        <v>395</v>
      </c>
      <c r="B415" s="626"/>
      <c r="C415" s="621">
        <f>'[1]Nota II.1.16b'!B39</f>
        <v>252970836.67000002</v>
      </c>
      <c r="D415" s="621">
        <f>'[1]Nota II.1.16b'!C39</f>
        <v>190271766.21000001</v>
      </c>
    </row>
    <row r="416" spans="1:9" x14ac:dyDescent="0.25">
      <c r="A416" s="625" t="s">
        <v>396</v>
      </c>
      <c r="B416" s="626"/>
      <c r="C416" s="621">
        <f>'[1]Nota II.1.16b'!B40</f>
        <v>22270</v>
      </c>
      <c r="D416" s="621">
        <f>'[1]Nota II.1.16b'!C40</f>
        <v>22270</v>
      </c>
    </row>
    <row r="417" spans="1:6" x14ac:dyDescent="0.25">
      <c r="A417" s="625" t="s">
        <v>397</v>
      </c>
      <c r="B417" s="626"/>
      <c r="C417" s="621">
        <f>'[1]Nota II.1.16b'!B41</f>
        <v>31115487.25</v>
      </c>
      <c r="D417" s="621">
        <f>'[1]Nota II.1.16b'!C41</f>
        <v>44008964.049999982</v>
      </c>
    </row>
    <row r="418" spans="1:6" ht="24.75" customHeight="1" thickBot="1" x14ac:dyDescent="0.3">
      <c r="A418" s="627" t="s">
        <v>398</v>
      </c>
      <c r="B418" s="628"/>
      <c r="C418" s="629">
        <f>'[1]Nota II.1.16b'!B42</f>
        <v>0</v>
      </c>
      <c r="D418" s="629">
        <f>'[1]Nota II.1.16b'!C42</f>
        <v>257.17</v>
      </c>
    </row>
    <row r="419" spans="1:6" ht="13.5" thickBot="1" x14ac:dyDescent="0.3">
      <c r="A419" s="630" t="s">
        <v>264</v>
      </c>
      <c r="B419" s="631"/>
      <c r="C419" s="407">
        <f>SUM(C407+C408+C409+C410+C418)</f>
        <v>349398294.03999996</v>
      </c>
      <c r="D419" s="407">
        <f>SUM(D407+D408+D409+D410+D418)</f>
        <v>281341722.81999999</v>
      </c>
    </row>
    <row r="422" spans="1:6" x14ac:dyDescent="0.2">
      <c r="A422" s="632"/>
      <c r="B422" s="633"/>
      <c r="C422" s="633"/>
      <c r="D422" s="634"/>
      <c r="E422" s="634"/>
      <c r="F422" s="226"/>
    </row>
    <row r="423" spans="1:6" x14ac:dyDescent="0.25">
      <c r="A423" s="612"/>
      <c r="B423" s="612"/>
      <c r="C423" s="612"/>
      <c r="D423" s="612"/>
      <c r="E423" s="226"/>
      <c r="F423" s="226"/>
    </row>
    <row r="424" spans="1:6" x14ac:dyDescent="0.25">
      <c r="A424" s="612"/>
      <c r="B424" s="612"/>
      <c r="C424" s="612"/>
      <c r="D424" s="612"/>
      <c r="E424" s="226"/>
      <c r="F424" s="226"/>
    </row>
    <row r="425" spans="1:6" x14ac:dyDescent="0.25">
      <c r="A425" s="612"/>
      <c r="B425" s="612"/>
      <c r="C425" s="612"/>
      <c r="D425" s="612"/>
      <c r="E425" s="226"/>
      <c r="F425" s="226"/>
    </row>
    <row r="426" spans="1:6" x14ac:dyDescent="0.25">
      <c r="A426" s="612"/>
      <c r="B426" s="612"/>
      <c r="C426" s="612"/>
      <c r="D426" s="612"/>
      <c r="E426" s="226"/>
      <c r="F426" s="226"/>
    </row>
    <row r="427" spans="1:6" ht="33.75" customHeight="1" x14ac:dyDescent="0.2">
      <c r="A427" s="225"/>
      <c r="B427" s="635"/>
      <c r="C427" s="635"/>
      <c r="D427" s="635"/>
      <c r="E427" s="635"/>
      <c r="F427" s="226"/>
    </row>
    <row r="428" spans="1:6" x14ac:dyDescent="0.2">
      <c r="A428" s="225"/>
      <c r="B428" s="225"/>
      <c r="C428" s="636"/>
      <c r="D428" s="636"/>
      <c r="E428" s="636"/>
      <c r="F428" s="226"/>
    </row>
    <row r="429" spans="1:6" x14ac:dyDescent="0.2">
      <c r="A429" s="225"/>
      <c r="B429" s="225"/>
      <c r="C429" s="225"/>
      <c r="D429" s="225"/>
      <c r="E429" s="225"/>
      <c r="F429" s="226"/>
    </row>
    <row r="430" spans="1:6" x14ac:dyDescent="0.2">
      <c r="A430" s="228"/>
      <c r="B430" s="637"/>
      <c r="C430" s="637"/>
      <c r="D430" s="637"/>
      <c r="E430" s="637"/>
      <c r="F430" s="226"/>
    </row>
    <row r="431" spans="1:6" x14ac:dyDescent="0.25">
      <c r="A431" s="638"/>
      <c r="B431" s="639"/>
      <c r="C431" s="639"/>
      <c r="D431" s="639"/>
      <c r="E431" s="639"/>
      <c r="F431" s="226"/>
    </row>
    <row r="432" spans="1:6" x14ac:dyDescent="0.25">
      <c r="A432" s="226"/>
      <c r="B432" s="226"/>
      <c r="C432" s="226"/>
      <c r="D432" s="226"/>
      <c r="E432" s="226"/>
      <c r="F432" s="226"/>
    </row>
    <row r="433" spans="1:6" x14ac:dyDescent="0.25">
      <c r="A433" s="226"/>
      <c r="B433" s="226"/>
      <c r="C433" s="226"/>
      <c r="D433" s="226"/>
      <c r="E433" s="226"/>
      <c r="F433" s="226"/>
    </row>
    <row r="434" spans="1:6" x14ac:dyDescent="0.25">
      <c r="A434" s="632"/>
      <c r="B434" s="633"/>
      <c r="C434" s="633"/>
      <c r="D434" s="640"/>
      <c r="E434" s="640"/>
      <c r="F434" s="641"/>
    </row>
    <row r="435" spans="1:6" x14ac:dyDescent="0.2">
      <c r="A435" s="146"/>
      <c r="B435" s="146"/>
      <c r="C435" s="146"/>
      <c r="D435" s="226"/>
      <c r="E435" s="226"/>
      <c r="F435" s="226"/>
    </row>
    <row r="436" spans="1:6" x14ac:dyDescent="0.25">
      <c r="A436" s="642"/>
      <c r="B436" s="642"/>
      <c r="C436" s="643"/>
      <c r="D436" s="226"/>
      <c r="E436" s="226"/>
      <c r="F436" s="226"/>
    </row>
    <row r="437" spans="1:6" ht="18.600000000000001" customHeight="1" x14ac:dyDescent="0.25">
      <c r="A437" s="644"/>
      <c r="B437" s="644"/>
      <c r="C437" s="645"/>
      <c r="D437" s="226"/>
      <c r="E437" s="226"/>
      <c r="F437" s="226"/>
    </row>
    <row r="438" spans="1:6" ht="18.600000000000001" customHeight="1" x14ac:dyDescent="0.25">
      <c r="A438" s="646"/>
      <c r="B438" s="646"/>
      <c r="C438" s="645"/>
      <c r="D438" s="226"/>
      <c r="E438" s="226"/>
      <c r="F438" s="226"/>
    </row>
    <row r="439" spans="1:6" x14ac:dyDescent="0.25">
      <c r="A439" s="604" t="s">
        <v>399</v>
      </c>
      <c r="B439" s="604"/>
      <c r="C439" s="604"/>
      <c r="D439" s="604"/>
    </row>
    <row r="441" spans="1:6" x14ac:dyDescent="0.25">
      <c r="A441" s="107" t="s">
        <v>400</v>
      </c>
    </row>
    <row r="444" spans="1:6" x14ac:dyDescent="0.25">
      <c r="A444" s="632" t="s">
        <v>401</v>
      </c>
      <c r="B444" s="632"/>
      <c r="C444" s="632"/>
      <c r="D444" s="284"/>
    </row>
    <row r="445" spans="1:6" ht="14.25" customHeight="1" x14ac:dyDescent="0.25">
      <c r="A445" s="647" t="s">
        <v>402</v>
      </c>
      <c r="B445" s="647"/>
      <c r="C445" s="647"/>
    </row>
    <row r="446" spans="1:6" x14ac:dyDescent="0.25">
      <c r="A446" s="648"/>
      <c r="B446" s="649"/>
      <c r="C446" s="649"/>
    </row>
    <row r="447" spans="1:6" x14ac:dyDescent="0.25">
      <c r="A447" s="107" t="s">
        <v>403</v>
      </c>
    </row>
    <row r="450" spans="1:5" x14ac:dyDescent="0.25">
      <c r="A450" s="650" t="s">
        <v>404</v>
      </c>
      <c r="B450" s="650"/>
      <c r="C450" s="650"/>
    </row>
    <row r="451" spans="1:5" ht="13.5" thickBot="1" x14ac:dyDescent="0.3">
      <c r="A451" s="365"/>
      <c r="B451" s="365"/>
      <c r="C451" s="365"/>
    </row>
    <row r="452" spans="1:5" ht="26.25" thickBot="1" x14ac:dyDescent="0.3">
      <c r="A452" s="325"/>
      <c r="B452" s="326"/>
      <c r="C452" s="327"/>
      <c r="D452" s="651" t="s">
        <v>405</v>
      </c>
      <c r="E452" s="396" t="s">
        <v>406</v>
      </c>
    </row>
    <row r="453" spans="1:5" ht="15.75" customHeight="1" thickBot="1" x14ac:dyDescent="0.3">
      <c r="A453" s="652" t="s">
        <v>407</v>
      </c>
      <c r="B453" s="653"/>
      <c r="C453" s="654"/>
      <c r="D453" s="655">
        <f>D454+D455</f>
        <v>43230795.969999999</v>
      </c>
      <c r="E453" s="656">
        <f>E454+E455</f>
        <v>558838092.55000007</v>
      </c>
    </row>
    <row r="454" spans="1:5" x14ac:dyDescent="0.25">
      <c r="A454" s="657" t="s">
        <v>408</v>
      </c>
      <c r="B454" s="658"/>
      <c r="C454" s="659"/>
      <c r="D454" s="660">
        <v>0</v>
      </c>
      <c r="E454" s="661">
        <v>0</v>
      </c>
    </row>
    <row r="455" spans="1:5" x14ac:dyDescent="0.25">
      <c r="A455" s="662" t="s">
        <v>409</v>
      </c>
      <c r="B455" s="663"/>
      <c r="C455" s="664"/>
      <c r="D455" s="665">
        <f>D456+D457+D458+D459</f>
        <v>43230795.969999999</v>
      </c>
      <c r="E455" s="666">
        <f>E456+E457+E458+E459</f>
        <v>558838092.55000007</v>
      </c>
    </row>
    <row r="456" spans="1:5" ht="25.5" customHeight="1" x14ac:dyDescent="0.25">
      <c r="A456" s="667" t="s">
        <v>410</v>
      </c>
      <c r="B456" s="668"/>
      <c r="C456" s="669"/>
      <c r="D456" s="670">
        <v>43230795.969999999</v>
      </c>
      <c r="E456" s="670">
        <v>2645661</v>
      </c>
    </row>
    <row r="457" spans="1:5" ht="27.75" customHeight="1" x14ac:dyDescent="0.25">
      <c r="A457" s="667" t="s">
        <v>411</v>
      </c>
      <c r="B457" s="668"/>
      <c r="C457" s="669"/>
      <c r="D457" s="665">
        <v>0</v>
      </c>
      <c r="E457" s="670">
        <v>528796818.44</v>
      </c>
    </row>
    <row r="458" spans="1:5" ht="23.25" customHeight="1" x14ac:dyDescent="0.25">
      <c r="A458" s="671" t="s">
        <v>412</v>
      </c>
      <c r="B458" s="672"/>
      <c r="C458" s="673"/>
      <c r="D458" s="670">
        <v>0</v>
      </c>
      <c r="E458" s="670">
        <v>27226832.629999999</v>
      </c>
    </row>
    <row r="459" spans="1:5" ht="15.75" customHeight="1" thickBot="1" x14ac:dyDescent="0.3">
      <c r="A459" s="674" t="s">
        <v>413</v>
      </c>
      <c r="B459" s="675"/>
      <c r="C459" s="676"/>
      <c r="D459" s="677">
        <v>0</v>
      </c>
      <c r="E459" s="678">
        <v>168780.48</v>
      </c>
    </row>
    <row r="460" spans="1:5" ht="15.75" customHeight="1" thickBot="1" x14ac:dyDescent="0.3">
      <c r="A460" s="652" t="s">
        <v>414</v>
      </c>
      <c r="B460" s="653"/>
      <c r="C460" s="654"/>
      <c r="D460" s="655">
        <f>D461+D462</f>
        <v>7112706.5700000003</v>
      </c>
      <c r="E460" s="656">
        <f>E461+E462</f>
        <v>279792869.17999995</v>
      </c>
    </row>
    <row r="461" spans="1:5" x14ac:dyDescent="0.25">
      <c r="A461" s="679" t="s">
        <v>408</v>
      </c>
      <c r="B461" s="680"/>
      <c r="C461" s="681"/>
      <c r="D461" s="665">
        <v>0</v>
      </c>
      <c r="E461" s="666">
        <v>0</v>
      </c>
    </row>
    <row r="462" spans="1:5" x14ac:dyDescent="0.25">
      <c r="A462" s="662" t="s">
        <v>409</v>
      </c>
      <c r="B462" s="663"/>
      <c r="C462" s="664"/>
      <c r="D462" s="682">
        <f>D463+D466</f>
        <v>7112706.5700000003</v>
      </c>
      <c r="E462" s="683">
        <f>E463+E466+E464+E465</f>
        <v>279792869.17999995</v>
      </c>
    </row>
    <row r="463" spans="1:5" x14ac:dyDescent="0.25">
      <c r="A463" s="671" t="s">
        <v>415</v>
      </c>
      <c r="B463" s="672"/>
      <c r="C463" s="673"/>
      <c r="D463" s="684">
        <v>7112706.5700000003</v>
      </c>
      <c r="E463" s="684">
        <v>245796.15</v>
      </c>
    </row>
    <row r="464" spans="1:5" x14ac:dyDescent="0.25">
      <c r="A464" s="671" t="s">
        <v>416</v>
      </c>
      <c r="B464" s="672"/>
      <c r="C464" s="673"/>
      <c r="D464" s="685">
        <v>0</v>
      </c>
      <c r="E464" s="686">
        <v>263992886.02999997</v>
      </c>
    </row>
    <row r="465" spans="1:9" ht="25.5" customHeight="1" x14ac:dyDescent="0.25">
      <c r="A465" s="671" t="s">
        <v>417</v>
      </c>
      <c r="B465" s="672"/>
      <c r="C465" s="673"/>
      <c r="D465" s="685">
        <v>0</v>
      </c>
      <c r="E465" s="686">
        <v>15384516.390000001</v>
      </c>
    </row>
    <row r="466" spans="1:9" ht="15.75" customHeight="1" thickBot="1" x14ac:dyDescent="0.3">
      <c r="A466" s="687" t="s">
        <v>418</v>
      </c>
      <c r="B466" s="688"/>
      <c r="C466" s="689"/>
      <c r="D466" s="690">
        <v>0</v>
      </c>
      <c r="E466" s="691">
        <v>169670.61</v>
      </c>
    </row>
    <row r="467" spans="1:9" x14ac:dyDescent="0.25">
      <c r="A467" s="650"/>
      <c r="B467" s="650"/>
      <c r="C467" s="650"/>
    </row>
    <row r="468" spans="1:9" x14ac:dyDescent="0.25">
      <c r="A468" s="650"/>
      <c r="B468" s="650"/>
      <c r="C468" s="650"/>
    </row>
    <row r="469" spans="1:9" ht="43.5" customHeight="1" x14ac:dyDescent="0.25">
      <c r="A469" s="283" t="s">
        <v>419</v>
      </c>
      <c r="B469" s="283"/>
      <c r="C469" s="283"/>
      <c r="D469" s="283"/>
      <c r="E469" s="284"/>
      <c r="F469" s="284"/>
      <c r="G469" s="284"/>
      <c r="H469" s="284"/>
      <c r="I469" s="284"/>
    </row>
    <row r="470" spans="1:9" x14ac:dyDescent="0.25">
      <c r="A470" s="309"/>
      <c r="B470" s="309"/>
      <c r="C470" s="309"/>
      <c r="D470" s="309"/>
      <c r="E470" s="131"/>
      <c r="F470" s="131"/>
      <c r="G470" s="131"/>
      <c r="H470" s="131"/>
      <c r="I470" s="131"/>
    </row>
    <row r="471" spans="1:9" x14ac:dyDescent="0.25">
      <c r="A471" s="692" t="s">
        <v>420</v>
      </c>
      <c r="B471" s="650"/>
      <c r="C471" s="650"/>
    </row>
    <row r="472" spans="1:9" x14ac:dyDescent="0.25">
      <c r="A472" s="650"/>
      <c r="B472" s="650"/>
      <c r="C472" s="650"/>
    </row>
    <row r="473" spans="1:9" x14ac:dyDescent="0.25">
      <c r="A473" s="650"/>
      <c r="B473" s="650"/>
      <c r="C473" s="650"/>
    </row>
    <row r="474" spans="1:9" x14ac:dyDescent="0.25">
      <c r="A474" s="650" t="s">
        <v>421</v>
      </c>
      <c r="B474" s="650"/>
      <c r="C474" s="650"/>
    </row>
    <row r="475" spans="1:9" x14ac:dyDescent="0.25">
      <c r="A475" s="362" t="s">
        <v>422</v>
      </c>
      <c r="B475" s="362"/>
      <c r="C475" s="362"/>
    </row>
    <row r="476" spans="1:9" ht="13.5" thickBot="1" x14ac:dyDescent="0.3">
      <c r="A476" s="650"/>
      <c r="B476" s="650"/>
      <c r="C476" s="650"/>
    </row>
    <row r="477" spans="1:9" ht="26.25" thickBot="1" x14ac:dyDescent="0.3">
      <c r="A477" s="325" t="s">
        <v>423</v>
      </c>
      <c r="B477" s="326"/>
      <c r="C477" s="326"/>
      <c r="D477" s="327"/>
      <c r="E477" s="693" t="s">
        <v>405</v>
      </c>
      <c r="F477" s="396" t="s">
        <v>406</v>
      </c>
      <c r="G477" s="694"/>
    </row>
    <row r="478" spans="1:9" ht="14.25" customHeight="1" thickBot="1" x14ac:dyDescent="0.3">
      <c r="A478" s="652" t="s">
        <v>424</v>
      </c>
      <c r="B478" s="653"/>
      <c r="C478" s="653"/>
      <c r="D478" s="654"/>
      <c r="E478" s="656">
        <f>SUM(E479:E486)</f>
        <v>372938632.25</v>
      </c>
      <c r="F478" s="656">
        <f>SUM(F479:F486)</f>
        <v>385137446.31999999</v>
      </c>
      <c r="G478" s="695"/>
      <c r="H478" s="695"/>
    </row>
    <row r="479" spans="1:9" x14ac:dyDescent="0.25">
      <c r="A479" s="696" t="s">
        <v>425</v>
      </c>
      <c r="B479" s="697"/>
      <c r="C479" s="697"/>
      <c r="D479" s="698"/>
      <c r="E479" s="666">
        <f>'[1]Nota II.2.5a'!C61</f>
        <v>90783557.849999994</v>
      </c>
      <c r="F479" s="666">
        <f>'[1]Nota II.2.5a'!D61</f>
        <v>102059969.78</v>
      </c>
      <c r="G479" s="320"/>
    </row>
    <row r="480" spans="1:9" x14ac:dyDescent="0.25">
      <c r="A480" s="699" t="s">
        <v>426</v>
      </c>
      <c r="B480" s="700"/>
      <c r="C480" s="700"/>
      <c r="D480" s="701"/>
      <c r="E480" s="666">
        <f>'[1]Nota II.2.5a'!C62</f>
        <v>250174445.71000001</v>
      </c>
      <c r="F480" s="666">
        <f>'[1]Nota II.2.5a'!D62</f>
        <v>247095867.56999999</v>
      </c>
      <c r="G480" s="320"/>
    </row>
    <row r="481" spans="1:8" x14ac:dyDescent="0.25">
      <c r="A481" s="699" t="s">
        <v>427</v>
      </c>
      <c r="B481" s="700"/>
      <c r="C481" s="700"/>
      <c r="D481" s="701"/>
      <c r="E481" s="666">
        <f>'[1]Nota II.2.5a'!C63</f>
        <v>14893726.58</v>
      </c>
      <c r="F481" s="666">
        <f>'[1]Nota II.2.5a'!D63</f>
        <v>18015262.57</v>
      </c>
      <c r="G481" s="320"/>
    </row>
    <row r="482" spans="1:8" hidden="1" x14ac:dyDescent="0.25">
      <c r="A482" s="702" t="s">
        <v>428</v>
      </c>
      <c r="B482" s="703"/>
      <c r="C482" s="703"/>
      <c r="D482" s="704"/>
      <c r="E482" s="666">
        <f>'[1]Nota II.2.5a'!C64</f>
        <v>0</v>
      </c>
      <c r="F482" s="666">
        <f>'[1]Nota II.2.5a'!D64</f>
        <v>0</v>
      </c>
      <c r="G482" s="320"/>
    </row>
    <row r="483" spans="1:8" x14ac:dyDescent="0.25">
      <c r="A483" s="699" t="s">
        <v>429</v>
      </c>
      <c r="B483" s="700"/>
      <c r="C483" s="700"/>
      <c r="D483" s="701"/>
      <c r="E483" s="666">
        <f>'[1]Nota II.2.5a'!C65</f>
        <v>6983386.4699999997</v>
      </c>
      <c r="F483" s="666">
        <f>'[1]Nota II.2.5a'!D65</f>
        <v>8246039.7800000003</v>
      </c>
      <c r="G483" s="320"/>
    </row>
    <row r="484" spans="1:8" hidden="1" x14ac:dyDescent="0.25">
      <c r="A484" s="462" t="s">
        <v>430</v>
      </c>
      <c r="B484" s="705"/>
      <c r="C484" s="705"/>
      <c r="D484" s="463"/>
      <c r="E484" s="666">
        <f>'[1]Nota II.2.5a'!C66</f>
        <v>0</v>
      </c>
      <c r="F484" s="666">
        <f>'[1]Nota II.2.5a'!D66</f>
        <v>0</v>
      </c>
      <c r="G484" s="320"/>
    </row>
    <row r="485" spans="1:8" x14ac:dyDescent="0.25">
      <c r="A485" s="462" t="s">
        <v>431</v>
      </c>
      <c r="B485" s="705"/>
      <c r="C485" s="705"/>
      <c r="D485" s="463"/>
      <c r="E485" s="666">
        <f>'[1]Nota II.2.5a'!C67</f>
        <v>2502321.86</v>
      </c>
      <c r="F485" s="666">
        <f>'[1]Nota II.2.5a'!D67</f>
        <v>2791554.98</v>
      </c>
      <c r="G485" s="320"/>
    </row>
    <row r="486" spans="1:8" ht="13.5" thickBot="1" x14ac:dyDescent="0.3">
      <c r="A486" s="466" t="s">
        <v>432</v>
      </c>
      <c r="B486" s="706"/>
      <c r="C486" s="706"/>
      <c r="D486" s="707"/>
      <c r="E486" s="708">
        <f>'[1]Nota II.2.5a'!C68</f>
        <v>7601193.7800000003</v>
      </c>
      <c r="F486" s="708">
        <f>'[1]Nota II.2.5a'!D68</f>
        <v>6928751.6399999997</v>
      </c>
      <c r="G486" s="320"/>
    </row>
    <row r="487" spans="1:8" ht="13.5" thickBot="1" x14ac:dyDescent="0.3">
      <c r="A487" s="652" t="s">
        <v>433</v>
      </c>
      <c r="B487" s="653"/>
      <c r="C487" s="653"/>
      <c r="D487" s="654"/>
      <c r="E487" s="709">
        <f>'[1]Nota II.2.5a'!C69</f>
        <v>558531.68000000005</v>
      </c>
      <c r="F487" s="709">
        <f>'[1]Nota II.2.5a'!D69</f>
        <v>176846.83</v>
      </c>
      <c r="G487" s="710"/>
      <c r="H487" s="710"/>
    </row>
    <row r="488" spans="1:8" ht="13.5" thickBot="1" x14ac:dyDescent="0.3">
      <c r="A488" s="711" t="s">
        <v>434</v>
      </c>
      <c r="B488" s="712"/>
      <c r="C488" s="712"/>
      <c r="D488" s="713"/>
      <c r="E488" s="709">
        <f>'[1]Nota II.2.5a'!C70</f>
        <v>0</v>
      </c>
      <c r="F488" s="709">
        <f>'[1]Nota II.2.5a'!D70</f>
        <v>0</v>
      </c>
      <c r="G488" s="710"/>
    </row>
    <row r="489" spans="1:8" ht="13.5" thickBot="1" x14ac:dyDescent="0.3">
      <c r="A489" s="711" t="s">
        <v>435</v>
      </c>
      <c r="B489" s="712"/>
      <c r="C489" s="712"/>
      <c r="D489" s="713"/>
      <c r="E489" s="709">
        <f>'[1]Nota II.2.5a'!C71</f>
        <v>0</v>
      </c>
      <c r="F489" s="709">
        <f>'[1]Nota II.2.5a'!D71</f>
        <v>168780.48</v>
      </c>
      <c r="G489" s="710"/>
    </row>
    <row r="490" spans="1:8" ht="13.5" thickBot="1" x14ac:dyDescent="0.3">
      <c r="A490" s="714" t="s">
        <v>436</v>
      </c>
      <c r="B490" s="715"/>
      <c r="C490" s="715"/>
      <c r="D490" s="716"/>
      <c r="E490" s="709">
        <f>'[1]Nota II.2.5a'!C72</f>
        <v>0</v>
      </c>
      <c r="F490" s="709">
        <f>'[1]Nota II.2.5a'!D72</f>
        <v>0</v>
      </c>
      <c r="G490" s="710"/>
    </row>
    <row r="491" spans="1:8" ht="13.5" thickBot="1" x14ac:dyDescent="0.3">
      <c r="A491" s="714" t="s">
        <v>437</v>
      </c>
      <c r="B491" s="715"/>
      <c r="C491" s="715"/>
      <c r="D491" s="716"/>
      <c r="E491" s="656">
        <f>E492+E500+E503+E506</f>
        <v>18760481073.579998</v>
      </c>
      <c r="F491" s="656">
        <f>SUM(F492+F500+F503+F506)</f>
        <v>18293051874.540001</v>
      </c>
      <c r="G491" s="695"/>
      <c r="H491" s="695"/>
    </row>
    <row r="492" spans="1:8" x14ac:dyDescent="0.25">
      <c r="A492" s="696" t="s">
        <v>438</v>
      </c>
      <c r="B492" s="697"/>
      <c r="C492" s="697"/>
      <c r="D492" s="698"/>
      <c r="E492" s="717">
        <f>SUM(E493:E499)</f>
        <v>2714998482.54</v>
      </c>
      <c r="F492" s="717">
        <f>SUM(F493:F499)</f>
        <v>2550439702.0900002</v>
      </c>
      <c r="G492" s="718"/>
    </row>
    <row r="493" spans="1:8" x14ac:dyDescent="0.25">
      <c r="A493" s="719" t="s">
        <v>439</v>
      </c>
      <c r="B493" s="720"/>
      <c r="C493" s="720"/>
      <c r="D493" s="721"/>
      <c r="E493" s="670">
        <f>'[1]Nota II.2.5a'!C75</f>
        <v>1394625866.6900001</v>
      </c>
      <c r="F493" s="670">
        <f>'[1]Nota II.2.5a'!D75</f>
        <v>1450852619.6700001</v>
      </c>
      <c r="G493" s="722"/>
    </row>
    <row r="494" spans="1:8" x14ac:dyDescent="0.25">
      <c r="A494" s="719" t="s">
        <v>440</v>
      </c>
      <c r="B494" s="720"/>
      <c r="C494" s="720"/>
      <c r="D494" s="721"/>
      <c r="E494" s="670">
        <f>'[1]Nota II.2.5a'!C76</f>
        <v>26873397.719999999</v>
      </c>
      <c r="F494" s="670">
        <f>'[1]Nota II.2.5a'!D76</f>
        <v>26599480.300000001</v>
      </c>
      <c r="G494" s="722"/>
    </row>
    <row r="495" spans="1:8" x14ac:dyDescent="0.25">
      <c r="A495" s="719" t="s">
        <v>441</v>
      </c>
      <c r="B495" s="720"/>
      <c r="C495" s="720"/>
      <c r="D495" s="721"/>
      <c r="E495" s="670">
        <f>'[1]Nota II.2.5a'!C77</f>
        <v>1058480793.6799999</v>
      </c>
      <c r="F495" s="670">
        <f>'[1]Nota II.2.5a'!D77</f>
        <v>778195497.91999996</v>
      </c>
      <c r="G495" s="722"/>
    </row>
    <row r="496" spans="1:8" x14ac:dyDescent="0.25">
      <c r="A496" s="719" t="s">
        <v>442</v>
      </c>
      <c r="B496" s="720"/>
      <c r="C496" s="720"/>
      <c r="D496" s="721"/>
      <c r="E496" s="670">
        <f>'[1]Nota II.2.5a'!C78</f>
        <v>1140468.3999999999</v>
      </c>
      <c r="F496" s="670">
        <f>'[1]Nota II.2.5a'!D78</f>
        <v>1195648.78</v>
      </c>
      <c r="G496" s="722"/>
    </row>
    <row r="497" spans="1:7" x14ac:dyDescent="0.25">
      <c r="A497" s="719" t="s">
        <v>443</v>
      </c>
      <c r="B497" s="720"/>
      <c r="C497" s="720"/>
      <c r="D497" s="721"/>
      <c r="E497" s="670">
        <f>'[1]Nota II.2.5a'!C79</f>
        <v>87.85</v>
      </c>
      <c r="F497" s="670">
        <f>'[1]Nota II.2.5a'!D79</f>
        <v>3268</v>
      </c>
      <c r="G497" s="722"/>
    </row>
    <row r="498" spans="1:7" x14ac:dyDescent="0.25">
      <c r="A498" s="719" t="s">
        <v>444</v>
      </c>
      <c r="B498" s="720"/>
      <c r="C498" s="720"/>
      <c r="D498" s="721"/>
      <c r="E498" s="670">
        <f>'[1]Nota II.2.5a'!C80</f>
        <v>105139600.23999999</v>
      </c>
      <c r="F498" s="670">
        <f>'[1]Nota II.2.5a'!D80</f>
        <v>131020354.26000001</v>
      </c>
      <c r="G498" s="722"/>
    </row>
    <row r="499" spans="1:7" x14ac:dyDescent="0.25">
      <c r="A499" s="719" t="s">
        <v>397</v>
      </c>
      <c r="B499" s="720"/>
      <c r="C499" s="720"/>
      <c r="D499" s="721"/>
      <c r="E499" s="670">
        <f>'[1]Nota II.2.5a'!C81</f>
        <v>128738267.95999999</v>
      </c>
      <c r="F499" s="670">
        <f>'[1]Nota II.2.5a'!D81</f>
        <v>162572833.16</v>
      </c>
      <c r="G499" s="722"/>
    </row>
    <row r="500" spans="1:7" x14ac:dyDescent="0.25">
      <c r="A500" s="462" t="s">
        <v>445</v>
      </c>
      <c r="B500" s="705"/>
      <c r="C500" s="705"/>
      <c r="D500" s="463"/>
      <c r="E500" s="723">
        <f>SUM(E501:E502)</f>
        <v>7961956778.1499996</v>
      </c>
      <c r="F500" s="723">
        <f>SUM(F501:F502)</f>
        <v>8300369800.1800003</v>
      </c>
      <c r="G500" s="718"/>
    </row>
    <row r="501" spans="1:7" x14ac:dyDescent="0.25">
      <c r="A501" s="719" t="s">
        <v>446</v>
      </c>
      <c r="B501" s="720"/>
      <c r="C501" s="720"/>
      <c r="D501" s="721"/>
      <c r="E501" s="670">
        <f>'[1]Nota II.2.5a'!C83</f>
        <v>6931913316</v>
      </c>
      <c r="F501" s="670">
        <f>'[1]Nota II.2.5a'!D83</f>
        <v>6935630340.3900003</v>
      </c>
      <c r="G501" s="722"/>
    </row>
    <row r="502" spans="1:7" x14ac:dyDescent="0.25">
      <c r="A502" s="719" t="s">
        <v>447</v>
      </c>
      <c r="B502" s="720"/>
      <c r="C502" s="720"/>
      <c r="D502" s="721"/>
      <c r="E502" s="670">
        <f>'[1]Nota II.2.5a'!C84</f>
        <v>1030043462.15</v>
      </c>
      <c r="F502" s="670">
        <f>'[1]Nota II.2.5a'!D84</f>
        <v>1364739459.79</v>
      </c>
      <c r="G502" s="722"/>
    </row>
    <row r="503" spans="1:7" x14ac:dyDescent="0.25">
      <c r="A503" s="699" t="s">
        <v>448</v>
      </c>
      <c r="B503" s="700"/>
      <c r="C503" s="700"/>
      <c r="D503" s="701"/>
      <c r="E503" s="723">
        <f>SUM(E504:E505)</f>
        <v>6706295114.71</v>
      </c>
      <c r="F503" s="723">
        <f>SUM(F504:F505)</f>
        <v>5275085459.5200005</v>
      </c>
      <c r="G503" s="718"/>
    </row>
    <row r="504" spans="1:7" x14ac:dyDescent="0.25">
      <c r="A504" s="719" t="s">
        <v>449</v>
      </c>
      <c r="B504" s="720"/>
      <c r="C504" s="720"/>
      <c r="D504" s="721"/>
      <c r="E504" s="670">
        <f>'[1]Nota II.2.5a'!C86</f>
        <v>3463937697.71</v>
      </c>
      <c r="F504" s="670">
        <f>'[1]Nota II.2.5a'!D86</f>
        <v>2305660862.52</v>
      </c>
      <c r="G504" s="722"/>
    </row>
    <row r="505" spans="1:7" x14ac:dyDescent="0.25">
      <c r="A505" s="719" t="s">
        <v>450</v>
      </c>
      <c r="B505" s="720"/>
      <c r="C505" s="720"/>
      <c r="D505" s="721"/>
      <c r="E505" s="670">
        <f>'[1]Nota II.2.5a'!C87</f>
        <v>3242357417</v>
      </c>
      <c r="F505" s="670">
        <f>'[1]Nota II.2.5a'!D87</f>
        <v>2969424597</v>
      </c>
      <c r="G505" s="722"/>
    </row>
    <row r="506" spans="1:7" x14ac:dyDescent="0.25">
      <c r="A506" s="699" t="s">
        <v>451</v>
      </c>
      <c r="B506" s="700"/>
      <c r="C506" s="700"/>
      <c r="D506" s="701"/>
      <c r="E506" s="723">
        <f>SUM(E507:E526)</f>
        <v>1377230698.1799998</v>
      </c>
      <c r="F506" s="723">
        <f>SUM(F507:F526)</f>
        <v>2167156912.75</v>
      </c>
      <c r="G506" s="718"/>
    </row>
    <row r="507" spans="1:7" x14ac:dyDescent="0.25">
      <c r="A507" s="719" t="s">
        <v>452</v>
      </c>
      <c r="B507" s="720"/>
      <c r="C507" s="720"/>
      <c r="D507" s="721"/>
      <c r="E507" s="670">
        <f>'[1]Nota II.2.5a'!C89</f>
        <v>166524192.97999999</v>
      </c>
      <c r="F507" s="670">
        <f>'[1]Nota II.2.5a'!D89</f>
        <v>148552165.63999999</v>
      </c>
      <c r="G507" s="320"/>
    </row>
    <row r="508" spans="1:7" hidden="1" x14ac:dyDescent="0.25">
      <c r="A508" s="719" t="s">
        <v>453</v>
      </c>
      <c r="B508" s="720"/>
      <c r="C508" s="720"/>
      <c r="D508" s="721"/>
      <c r="E508" s="670">
        <f>'[1]Nota II.2.5a'!C90</f>
        <v>0</v>
      </c>
      <c r="F508" s="670">
        <f>'[1]Nota II.2.5a'!D90</f>
        <v>130.41999999999999</v>
      </c>
      <c r="G508" s="320"/>
    </row>
    <row r="509" spans="1:7" x14ac:dyDescent="0.25">
      <c r="A509" s="719" t="s">
        <v>454</v>
      </c>
      <c r="B509" s="720"/>
      <c r="C509" s="720"/>
      <c r="D509" s="721"/>
      <c r="E509" s="670">
        <f>'[1]Nota II.2.5a'!C91</f>
        <v>-2003.1</v>
      </c>
      <c r="F509" s="670">
        <f>'[1]Nota II.2.5a'!D91</f>
        <v>0</v>
      </c>
      <c r="G509" s="320"/>
    </row>
    <row r="510" spans="1:7" hidden="1" x14ac:dyDescent="0.25">
      <c r="A510" s="719" t="s">
        <v>455</v>
      </c>
      <c r="B510" s="720"/>
      <c r="C510" s="720"/>
      <c r="D510" s="721"/>
      <c r="E510" s="670">
        <f>'[1]Nota II.2.5a'!C92</f>
        <v>0</v>
      </c>
      <c r="F510" s="670">
        <f>'[1]Nota II.2.5a'!D92</f>
        <v>0</v>
      </c>
      <c r="G510" s="320"/>
    </row>
    <row r="511" spans="1:7" x14ac:dyDescent="0.25">
      <c r="A511" s="719" t="s">
        <v>456</v>
      </c>
      <c r="B511" s="720"/>
      <c r="C511" s="720"/>
      <c r="D511" s="721"/>
      <c r="E511" s="670">
        <f>'[1]Nota II.2.5a'!C93</f>
        <v>12190854.32</v>
      </c>
      <c r="F511" s="670">
        <f>'[1]Nota II.2.5a'!D93</f>
        <v>17121680.629999999</v>
      </c>
      <c r="G511" s="320"/>
    </row>
    <row r="512" spans="1:7" x14ac:dyDescent="0.25">
      <c r="A512" s="719" t="s">
        <v>457</v>
      </c>
      <c r="B512" s="720"/>
      <c r="C512" s="720"/>
      <c r="D512" s="721"/>
      <c r="E512" s="670">
        <f>'[1]Nota II.2.5a'!C94</f>
        <v>10496887.9</v>
      </c>
      <c r="F512" s="670">
        <f>'[1]Nota II.2.5a'!D94</f>
        <v>12914606.060000001</v>
      </c>
      <c r="G512" s="320"/>
    </row>
    <row r="513" spans="1:8" x14ac:dyDescent="0.25">
      <c r="A513" s="719" t="s">
        <v>458</v>
      </c>
      <c r="B513" s="720"/>
      <c r="C513" s="720"/>
      <c r="D513" s="721"/>
      <c r="E513" s="670">
        <f>'[1]Nota II.2.5a'!C95</f>
        <v>106155148.84999999</v>
      </c>
      <c r="F513" s="670">
        <f>'[1]Nota II.2.5a'!D95</f>
        <v>115664604.47</v>
      </c>
      <c r="G513" s="320"/>
    </row>
    <row r="514" spans="1:8" x14ac:dyDescent="0.25">
      <c r="A514" s="719" t="s">
        <v>459</v>
      </c>
      <c r="B514" s="720"/>
      <c r="C514" s="720"/>
      <c r="D514" s="721"/>
      <c r="E514" s="670">
        <f>'[1]Nota II.2.5a'!C96</f>
        <v>52357880.18</v>
      </c>
      <c r="F514" s="670">
        <f>'[1]Nota II.2.5a'!D96</f>
        <v>61053807.009999998</v>
      </c>
      <c r="G514" s="320"/>
    </row>
    <row r="515" spans="1:8" s="311" customFormat="1" x14ac:dyDescent="0.25">
      <c r="A515" s="724"/>
      <c r="B515" s="724"/>
      <c r="C515" s="724"/>
      <c r="D515" s="724"/>
      <c r="E515" s="725"/>
      <c r="F515" s="725"/>
      <c r="G515" s="320"/>
    </row>
    <row r="516" spans="1:8" s="311" customFormat="1" x14ac:dyDescent="0.25">
      <c r="A516" s="724"/>
      <c r="B516" s="724"/>
      <c r="C516" s="724"/>
      <c r="D516" s="724"/>
      <c r="E516" s="725"/>
      <c r="F516" s="725"/>
      <c r="G516" s="320"/>
    </row>
    <row r="517" spans="1:8" s="311" customFormat="1" x14ac:dyDescent="0.25">
      <c r="A517" s="724"/>
      <c r="B517" s="724"/>
      <c r="C517" s="724"/>
      <c r="D517" s="724"/>
      <c r="E517" s="725"/>
      <c r="F517" s="725"/>
      <c r="G517" s="320"/>
    </row>
    <row r="518" spans="1:8" s="311" customFormat="1" x14ac:dyDescent="0.25">
      <c r="A518" s="362" t="s">
        <v>460</v>
      </c>
      <c r="B518" s="362"/>
      <c r="C518" s="362"/>
      <c r="D518" s="724"/>
      <c r="E518" s="725"/>
      <c r="F518" s="725"/>
      <c r="G518" s="320"/>
    </row>
    <row r="519" spans="1:8" s="311" customFormat="1" ht="13.5" thickBot="1" x14ac:dyDescent="0.3">
      <c r="A519" s="650"/>
      <c r="B519" s="650"/>
      <c r="C519" s="650"/>
      <c r="D519" s="724"/>
      <c r="E519" s="725"/>
      <c r="F519" s="725"/>
      <c r="G519" s="320"/>
    </row>
    <row r="520" spans="1:8" ht="26.25" thickBot="1" x14ac:dyDescent="0.3">
      <c r="A520" s="325"/>
      <c r="B520" s="326"/>
      <c r="C520" s="326"/>
      <c r="D520" s="327"/>
      <c r="E520" s="396" t="s">
        <v>405</v>
      </c>
      <c r="F520" s="396" t="s">
        <v>406</v>
      </c>
      <c r="G520" s="320"/>
    </row>
    <row r="521" spans="1:8" x14ac:dyDescent="0.25">
      <c r="A521" s="719" t="s">
        <v>461</v>
      </c>
      <c r="B521" s="720"/>
      <c r="C521" s="720"/>
      <c r="D521" s="721"/>
      <c r="E521" s="506">
        <f>'[1]Nota II.2.5a'!C97</f>
        <v>55327835.829999998</v>
      </c>
      <c r="F521" s="670">
        <f>'[1]Nota II.2.5a'!D97</f>
        <v>49435106.600000001</v>
      </c>
      <c r="G521" s="320"/>
    </row>
    <row r="522" spans="1:8" x14ac:dyDescent="0.25">
      <c r="A522" s="726" t="s">
        <v>462</v>
      </c>
      <c r="B522" s="727"/>
      <c r="C522" s="727"/>
      <c r="D522" s="728"/>
      <c r="E522" s="670">
        <f>'[1]Nota II.2.5a'!C98</f>
        <v>17344531.52</v>
      </c>
      <c r="F522" s="670">
        <f>'[1]Nota II.2.5a'!D98</f>
        <v>21000273.550000001</v>
      </c>
      <c r="G522" s="320"/>
    </row>
    <row r="523" spans="1:8" hidden="1" x14ac:dyDescent="0.25">
      <c r="A523" s="726" t="s">
        <v>463</v>
      </c>
      <c r="B523" s="727"/>
      <c r="C523" s="727"/>
      <c r="D523" s="728"/>
      <c r="E523" s="670">
        <f>'[1]Nota II.2.5a'!C99</f>
        <v>0</v>
      </c>
      <c r="F523" s="670">
        <f>'[1]Nota II.2.5a'!D99</f>
        <v>0</v>
      </c>
      <c r="G523" s="320"/>
    </row>
    <row r="524" spans="1:8" x14ac:dyDescent="0.25">
      <c r="A524" s="726" t="s">
        <v>464</v>
      </c>
      <c r="B524" s="727"/>
      <c r="C524" s="727"/>
      <c r="D524" s="728"/>
      <c r="E524" s="670">
        <f>'[1]Nota II.2.5a'!C100</f>
        <v>8471168.1199999992</v>
      </c>
      <c r="F524" s="670">
        <f>'[1]Nota II.2.5a'!D100</f>
        <v>7661317.6100000003</v>
      </c>
      <c r="G524" s="320"/>
    </row>
    <row r="525" spans="1:8" x14ac:dyDescent="0.25">
      <c r="A525" s="729" t="s">
        <v>465</v>
      </c>
      <c r="B525" s="730"/>
      <c r="C525" s="730"/>
      <c r="D525" s="731"/>
      <c r="E525" s="670">
        <f>'[1]Nota II.2.5a'!C101</f>
        <v>809895640.95000005</v>
      </c>
      <c r="F525" s="670">
        <f>'[1]Nota II.2.5a'!D101</f>
        <v>1159920868.8999999</v>
      </c>
      <c r="G525" s="320"/>
    </row>
    <row r="526" spans="1:8" ht="13.5" thickBot="1" x14ac:dyDescent="0.3">
      <c r="A526" s="732" t="s">
        <v>466</v>
      </c>
      <c r="B526" s="733"/>
      <c r="C526" s="733"/>
      <c r="D526" s="734"/>
      <c r="E526" s="670">
        <f>'[1]Nota II.2.5a'!C102</f>
        <v>138468560.63</v>
      </c>
      <c r="F526" s="670">
        <f>'[1]Nota II.2.5a'!D102</f>
        <v>573832351.86000001</v>
      </c>
      <c r="G526" s="320"/>
    </row>
    <row r="527" spans="1:8" ht="13.5" thickBot="1" x14ac:dyDescent="0.3">
      <c r="A527" s="735" t="s">
        <v>467</v>
      </c>
      <c r="B527" s="736"/>
      <c r="C527" s="736"/>
      <c r="D527" s="737"/>
      <c r="E527" s="516">
        <f>SUM(E478+E487+E488+E489+E490+E491)</f>
        <v>19133978237.509998</v>
      </c>
      <c r="F527" s="516">
        <f>SUM(F478+F487+F488+F489+F490+F491)</f>
        <v>18678534948.170002</v>
      </c>
      <c r="G527" s="695"/>
      <c r="H527" s="695"/>
    </row>
    <row r="529" spans="1:7" ht="29.25" customHeight="1" x14ac:dyDescent="0.25">
      <c r="A529" s="738" t="s">
        <v>468</v>
      </c>
      <c r="B529" s="738"/>
      <c r="C529" s="738"/>
      <c r="D529" s="738"/>
      <c r="E529" s="738"/>
      <c r="F529" s="738"/>
      <c r="G529" s="738"/>
    </row>
    <row r="532" spans="1:7" x14ac:dyDescent="0.2">
      <c r="A532" s="106" t="s">
        <v>469</v>
      </c>
      <c r="B532" s="221"/>
      <c r="C532" s="221"/>
      <c r="D532" s="221"/>
    </row>
    <row r="533" spans="1:7" ht="13.5" thickBot="1" x14ac:dyDescent="0.25">
      <c r="A533" s="650"/>
      <c r="B533" s="650"/>
      <c r="C533" s="149"/>
    </row>
    <row r="534" spans="1:7" x14ac:dyDescent="0.25">
      <c r="A534" s="739" t="s">
        <v>470</v>
      </c>
      <c r="B534" s="740"/>
      <c r="C534" s="741" t="s">
        <v>405</v>
      </c>
      <c r="D534" s="741" t="s">
        <v>406</v>
      </c>
    </row>
    <row r="535" spans="1:7" ht="13.5" thickBot="1" x14ac:dyDescent="0.3">
      <c r="A535" s="742"/>
      <c r="B535" s="743"/>
      <c r="C535" s="744"/>
      <c r="D535" s="745"/>
    </row>
    <row r="536" spans="1:7" x14ac:dyDescent="0.25">
      <c r="A536" s="746" t="s">
        <v>471</v>
      </c>
      <c r="B536" s="747"/>
      <c r="C536" s="666">
        <f>'[1]Nota II.2.5b'!C26</f>
        <v>99829111.689999998</v>
      </c>
      <c r="D536" s="666">
        <f>'[1]Nota II.2.5b'!D26</f>
        <v>111913005.90000001</v>
      </c>
    </row>
    <row r="537" spans="1:7" x14ac:dyDescent="0.25">
      <c r="A537" s="484" t="s">
        <v>472</v>
      </c>
      <c r="B537" s="485"/>
      <c r="C537" s="666">
        <f>'[1]Nota II.2.5b'!C27</f>
        <v>18648121.5</v>
      </c>
      <c r="D537" s="666">
        <f>'[1]Nota II.2.5b'!D27</f>
        <v>18791256.16</v>
      </c>
    </row>
    <row r="538" spans="1:7" x14ac:dyDescent="0.25">
      <c r="A538" s="488" t="s">
        <v>473</v>
      </c>
      <c r="B538" s="489"/>
      <c r="C538" s="666">
        <f>'[1]Nota II.2.5b'!C28</f>
        <v>768280353.14999998</v>
      </c>
      <c r="D538" s="666">
        <f>'[1]Nota II.2.5b'!D28</f>
        <v>846666858.91999996</v>
      </c>
    </row>
    <row r="539" spans="1:7" ht="32.25" customHeight="1" x14ac:dyDescent="0.25">
      <c r="A539" s="625" t="s">
        <v>474</v>
      </c>
      <c r="B539" s="626"/>
      <c r="C539" s="666">
        <f>'[1]Nota II.2.5b'!C29</f>
        <v>5902378.7999999998</v>
      </c>
      <c r="D539" s="666">
        <f>'[1]Nota II.2.5b'!D29</f>
        <v>6508999.1399999997</v>
      </c>
    </row>
    <row r="540" spans="1:7" ht="41.25" customHeight="1" x14ac:dyDescent="0.25">
      <c r="A540" s="486" t="s">
        <v>475</v>
      </c>
      <c r="B540" s="487"/>
      <c r="C540" s="666">
        <f>'[1]Nota II.2.5b'!C30</f>
        <v>559828.80000000005</v>
      </c>
      <c r="D540" s="666">
        <f>'[1]Nota II.2.5b'!D30</f>
        <v>396901.37</v>
      </c>
    </row>
    <row r="541" spans="1:7" x14ac:dyDescent="0.25">
      <c r="A541" s="486" t="s">
        <v>476</v>
      </c>
      <c r="B541" s="487"/>
      <c r="C541" s="666">
        <f>'[1]Nota II.2.5b'!C31</f>
        <v>2055666.05</v>
      </c>
      <c r="D541" s="666">
        <f>'[1]Nota II.2.5b'!D31</f>
        <v>1984225.82</v>
      </c>
    </row>
    <row r="542" spans="1:7" x14ac:dyDescent="0.25">
      <c r="A542" s="486" t="s">
        <v>477</v>
      </c>
      <c r="B542" s="487"/>
      <c r="C542" s="666">
        <f>'[1]Nota II.2.5b'!C32</f>
        <v>191339.09</v>
      </c>
      <c r="D542" s="666">
        <f>'[1]Nota II.2.5b'!D32</f>
        <v>225390.6</v>
      </c>
    </row>
    <row r="543" spans="1:7" ht="24.75" customHeight="1" x14ac:dyDescent="0.25">
      <c r="A543" s="486" t="s">
        <v>478</v>
      </c>
      <c r="B543" s="487"/>
      <c r="C543" s="666">
        <f>'[1]Nota II.2.5b'!C33</f>
        <v>6091504.3499999996</v>
      </c>
      <c r="D543" s="666">
        <f>'[1]Nota II.2.5b'!D33</f>
        <v>10319648.939999999</v>
      </c>
    </row>
    <row r="544" spans="1:7" ht="30" customHeight="1" x14ac:dyDescent="0.25">
      <c r="A544" s="625" t="s">
        <v>479</v>
      </c>
      <c r="B544" s="626"/>
      <c r="C544" s="666">
        <f>'[1]Nota II.2.5b'!C34</f>
        <v>30623724.210000001</v>
      </c>
      <c r="D544" s="666">
        <f>'[1]Nota II.2.5b'!D34</f>
        <v>44057922.119999997</v>
      </c>
    </row>
    <row r="545" spans="1:6" ht="13.5" thickBot="1" x14ac:dyDescent="0.3">
      <c r="A545" s="748" t="s">
        <v>177</v>
      </c>
      <c r="B545" s="749"/>
      <c r="C545" s="666">
        <f>'[1]Nota II.2.5b'!C35</f>
        <v>7463.25</v>
      </c>
      <c r="D545" s="666">
        <f>'[1]Nota II.2.5b'!D35</f>
        <v>8394330.1400000006</v>
      </c>
    </row>
    <row r="546" spans="1:6" ht="13.5" thickBot="1" x14ac:dyDescent="0.3">
      <c r="A546" s="750" t="s">
        <v>264</v>
      </c>
      <c r="B546" s="751"/>
      <c r="C546" s="516">
        <f>SUM(C536:C545)</f>
        <v>932189490.88999987</v>
      </c>
      <c r="D546" s="516">
        <f>SUM(D536:D545)</f>
        <v>1049258539.1100001</v>
      </c>
    </row>
    <row r="551" spans="1:6" x14ac:dyDescent="0.25">
      <c r="A551" s="362" t="s">
        <v>480</v>
      </c>
      <c r="B551" s="362"/>
      <c r="C551" s="362"/>
    </row>
    <row r="552" spans="1:6" ht="13.5" thickBot="1" x14ac:dyDescent="0.3">
      <c r="A552" s="650"/>
      <c r="B552" s="650"/>
      <c r="C552" s="650"/>
    </row>
    <row r="553" spans="1:6" ht="26.25" thickBot="1" x14ac:dyDescent="0.3">
      <c r="A553" s="752" t="s">
        <v>481</v>
      </c>
      <c r="B553" s="753"/>
      <c r="C553" s="753"/>
      <c r="D553" s="754"/>
      <c r="E553" s="693" t="s">
        <v>405</v>
      </c>
      <c r="F553" s="396" t="s">
        <v>406</v>
      </c>
    </row>
    <row r="554" spans="1:6" ht="13.5" thickBot="1" x14ac:dyDescent="0.3">
      <c r="A554" s="652" t="s">
        <v>482</v>
      </c>
      <c r="B554" s="653"/>
      <c r="C554" s="653"/>
      <c r="D554" s="654"/>
      <c r="E554" s="709">
        <f>E555+E556+E557</f>
        <v>306288592.58000004</v>
      </c>
      <c r="F554" s="709">
        <f>F555+F556+F557</f>
        <v>307608294.63</v>
      </c>
    </row>
    <row r="555" spans="1:6" x14ac:dyDescent="0.25">
      <c r="A555" s="755" t="s">
        <v>483</v>
      </c>
      <c r="B555" s="756"/>
      <c r="C555" s="756"/>
      <c r="D555" s="757"/>
      <c r="E555" s="758">
        <f>'[1]Nota II.2.5.c'!C36</f>
        <v>228477307.02000001</v>
      </c>
      <c r="F555" s="758">
        <f>'[1]Nota II.2.5.c'!D36</f>
        <v>220807509.83000001</v>
      </c>
    </row>
    <row r="556" spans="1:6" x14ac:dyDescent="0.25">
      <c r="A556" s="759" t="s">
        <v>484</v>
      </c>
      <c r="B556" s="760"/>
      <c r="C556" s="760"/>
      <c r="D556" s="761"/>
      <c r="E556" s="670">
        <f>'[1]Nota II.2.5.c'!C37</f>
        <v>1894679.58</v>
      </c>
      <c r="F556" s="670">
        <f>'[1]Nota II.2.5.c'!D37</f>
        <v>5738149.75</v>
      </c>
    </row>
    <row r="557" spans="1:6" ht="13.5" thickBot="1" x14ac:dyDescent="0.3">
      <c r="A557" s="762" t="s">
        <v>485</v>
      </c>
      <c r="B557" s="763"/>
      <c r="C557" s="763"/>
      <c r="D557" s="764"/>
      <c r="E557" s="765">
        <f>'[1]Nota II.2.5.c'!C38</f>
        <v>75916605.980000004</v>
      </c>
      <c r="F557" s="765">
        <f>'[1]Nota II.2.5.c'!D38</f>
        <v>81062635.049999997</v>
      </c>
    </row>
    <row r="558" spans="1:6" ht="13.5" thickBot="1" x14ac:dyDescent="0.3">
      <c r="A558" s="766" t="s">
        <v>486</v>
      </c>
      <c r="B558" s="767"/>
      <c r="C558" s="767"/>
      <c r="D558" s="768"/>
      <c r="E558" s="769">
        <f>'[1]Nota II.2.5.c'!C39</f>
        <v>350863.81</v>
      </c>
      <c r="F558" s="769">
        <f>'[1]Nota II.2.5.c'!D39</f>
        <v>684942.08</v>
      </c>
    </row>
    <row r="559" spans="1:6" ht="13.5" thickBot="1" x14ac:dyDescent="0.3">
      <c r="A559" s="770" t="s">
        <v>487</v>
      </c>
      <c r="B559" s="771"/>
      <c r="C559" s="771"/>
      <c r="D559" s="772"/>
      <c r="E559" s="656">
        <f>SUM(E560:E569)</f>
        <v>562144943.18999994</v>
      </c>
      <c r="F559" s="656">
        <f>SUM(F560:F569)</f>
        <v>457776365.90000004</v>
      </c>
    </row>
    <row r="560" spans="1:6" x14ac:dyDescent="0.25">
      <c r="A560" s="773" t="s">
        <v>488</v>
      </c>
      <c r="B560" s="774"/>
      <c r="C560" s="774"/>
      <c r="D560" s="775"/>
      <c r="E560" s="776">
        <f>'[1]Nota II.2.5.c'!C41</f>
        <v>4150669.57</v>
      </c>
      <c r="F560" s="776">
        <f>'[1]Nota II.2.5.c'!D41</f>
        <v>3937955.47</v>
      </c>
    </row>
    <row r="561" spans="1:6" hidden="1" x14ac:dyDescent="0.25">
      <c r="A561" s="777" t="s">
        <v>489</v>
      </c>
      <c r="B561" s="778"/>
      <c r="C561" s="778"/>
      <c r="D561" s="779"/>
      <c r="E561" s="780">
        <f>'[1]Nota II.2.5.c'!C42</f>
        <v>0</v>
      </c>
      <c r="F561" s="780">
        <f>'[1]Nota II.2.5.c'!D42</f>
        <v>0</v>
      </c>
    </row>
    <row r="562" spans="1:6" x14ac:dyDescent="0.25">
      <c r="A562" s="777" t="s">
        <v>490</v>
      </c>
      <c r="B562" s="778"/>
      <c r="C562" s="778"/>
      <c r="D562" s="779"/>
      <c r="E562" s="780">
        <f>'[1]Nota II.2.5.c'!C43</f>
        <v>45667139.890000001</v>
      </c>
      <c r="F562" s="780">
        <f>'[1]Nota II.2.5.c'!D43</f>
        <v>58363859.240000002</v>
      </c>
    </row>
    <row r="563" spans="1:6" x14ac:dyDescent="0.25">
      <c r="A563" s="777" t="s">
        <v>491</v>
      </c>
      <c r="B563" s="778"/>
      <c r="C563" s="778"/>
      <c r="D563" s="779"/>
      <c r="E563" s="780">
        <f>'[1]Nota II.2.5.c'!C44</f>
        <v>19963.21</v>
      </c>
      <c r="F563" s="780">
        <f>'[1]Nota II.2.5.c'!D44</f>
        <v>45784.15</v>
      </c>
    </row>
    <row r="564" spans="1:6" x14ac:dyDescent="0.25">
      <c r="A564" s="777" t="s">
        <v>492</v>
      </c>
      <c r="B564" s="778"/>
      <c r="C564" s="778"/>
      <c r="D564" s="779"/>
      <c r="E564" s="780">
        <f>'[1]Nota II.2.5.c'!C45</f>
        <v>487915.07</v>
      </c>
      <c r="F564" s="780">
        <f>'[1]Nota II.2.5.c'!D45</f>
        <v>9412079.4499999993</v>
      </c>
    </row>
    <row r="565" spans="1:6" x14ac:dyDescent="0.25">
      <c r="A565" s="777" t="s">
        <v>493</v>
      </c>
      <c r="B565" s="778"/>
      <c r="C565" s="778"/>
      <c r="D565" s="779"/>
      <c r="E565" s="780">
        <f>'[1]Nota II.2.5.c'!C46</f>
        <v>254707827.27000001</v>
      </c>
      <c r="F565" s="780">
        <f>'[1]Nota II.2.5.c'!D46</f>
        <v>218210217.93000001</v>
      </c>
    </row>
    <row r="566" spans="1:6" x14ac:dyDescent="0.25">
      <c r="A566" s="777" t="s">
        <v>494</v>
      </c>
      <c r="B566" s="778"/>
      <c r="C566" s="778"/>
      <c r="D566" s="779"/>
      <c r="E566" s="780">
        <f>'[1]Nota II.2.5.c'!C47</f>
        <v>194610688.03</v>
      </c>
      <c r="F566" s="780">
        <f>'[1]Nota II.2.5.c'!D47</f>
        <v>106851045.84</v>
      </c>
    </row>
    <row r="567" spans="1:6" ht="27" customHeight="1" x14ac:dyDescent="0.25">
      <c r="A567" s="759" t="s">
        <v>495</v>
      </c>
      <c r="B567" s="760"/>
      <c r="C567" s="760"/>
      <c r="D567" s="761"/>
      <c r="E567" s="780">
        <f>'[1]Nota II.2.5.c'!C48</f>
        <v>271752.75</v>
      </c>
      <c r="F567" s="780">
        <f>'[1]Nota II.2.5.c'!D48</f>
        <v>0</v>
      </c>
    </row>
    <row r="568" spans="1:6" ht="62.25" customHeight="1" x14ac:dyDescent="0.25">
      <c r="A568" s="759" t="s">
        <v>496</v>
      </c>
      <c r="B568" s="760"/>
      <c r="C568" s="760"/>
      <c r="D568" s="761"/>
      <c r="E568" s="780">
        <f>'[1]Nota II.2.5.c'!C49</f>
        <v>0</v>
      </c>
      <c r="F568" s="780">
        <f>'[1]Nota II.2.5.c'!D49</f>
        <v>0</v>
      </c>
    </row>
    <row r="569" spans="1:6" ht="56.25" customHeight="1" thickBot="1" x14ac:dyDescent="0.3">
      <c r="A569" s="762" t="s">
        <v>497</v>
      </c>
      <c r="B569" s="763"/>
      <c r="C569" s="763"/>
      <c r="D569" s="764"/>
      <c r="E569" s="781">
        <f>'[1]Nota II.2.5.c'!C50</f>
        <v>62228987.399999999</v>
      </c>
      <c r="F569" s="781">
        <f>'[1]Nota II.2.5.c'!D50</f>
        <v>60955423.82</v>
      </c>
    </row>
    <row r="570" spans="1:6" ht="13.5" thickBot="1" x14ac:dyDescent="0.3">
      <c r="A570" s="782" t="s">
        <v>264</v>
      </c>
      <c r="B570" s="783"/>
      <c r="C570" s="783"/>
      <c r="D570" s="784"/>
      <c r="E570" s="444">
        <f>SUM(E554+E558+E559)</f>
        <v>868784399.57999992</v>
      </c>
      <c r="F570" s="444">
        <f>SUM(F554+F558+F559)</f>
        <v>766069602.61000001</v>
      </c>
    </row>
    <row r="575" spans="1:6" x14ac:dyDescent="0.2">
      <c r="A575" s="106" t="s">
        <v>498</v>
      </c>
      <c r="B575" s="221"/>
      <c r="C575" s="221"/>
      <c r="D575" s="221"/>
    </row>
    <row r="576" spans="1:6" ht="13.5" thickBot="1" x14ac:dyDescent="0.25">
      <c r="A576" s="650"/>
      <c r="B576" s="650"/>
      <c r="C576" s="149"/>
      <c r="D576" s="149"/>
    </row>
    <row r="577" spans="1:6" ht="26.25" thickBot="1" x14ac:dyDescent="0.3">
      <c r="A577" s="325" t="s">
        <v>499</v>
      </c>
      <c r="B577" s="326"/>
      <c r="C577" s="326"/>
      <c r="D577" s="327"/>
      <c r="E577" s="693" t="s">
        <v>405</v>
      </c>
      <c r="F577" s="396" t="s">
        <v>406</v>
      </c>
    </row>
    <row r="578" spans="1:6" ht="30.75" customHeight="1" thickBot="1" x14ac:dyDescent="0.3">
      <c r="A578" s="711" t="s">
        <v>500</v>
      </c>
      <c r="B578" s="712"/>
      <c r="C578" s="712"/>
      <c r="D578" s="713"/>
      <c r="E578" s="709">
        <f>'[1]Nota II.2.5.d'!C33</f>
        <v>0</v>
      </c>
      <c r="F578" s="709">
        <f>'[1]Nota II.2.5.d'!D33</f>
        <v>0</v>
      </c>
    </row>
    <row r="579" spans="1:6" ht="13.5" thickBot="1" x14ac:dyDescent="0.3">
      <c r="A579" s="652" t="s">
        <v>501</v>
      </c>
      <c r="B579" s="653"/>
      <c r="C579" s="653"/>
      <c r="D579" s="654"/>
      <c r="E579" s="709">
        <f>'[1]Nota II.2.5.d'!C34</f>
        <v>869310357.64999998</v>
      </c>
      <c r="F579" s="709">
        <f>'[1]Nota II.2.5.d'!D34</f>
        <v>621554964.23000002</v>
      </c>
    </row>
    <row r="580" spans="1:6" ht="14.45" customHeight="1" x14ac:dyDescent="0.25">
      <c r="A580" s="373" t="s">
        <v>502</v>
      </c>
      <c r="B580" s="374"/>
      <c r="C580" s="374"/>
      <c r="D580" s="785"/>
      <c r="E580" s="786">
        <f>'[1]Nota II.2.5.d'!C35</f>
        <v>1708832.66</v>
      </c>
      <c r="F580" s="786">
        <f>'[1]Nota II.2.5.d'!D35</f>
        <v>2141474.08</v>
      </c>
    </row>
    <row r="581" spans="1:6" x14ac:dyDescent="0.25">
      <c r="A581" s="787" t="s">
        <v>503</v>
      </c>
      <c r="B581" s="788"/>
      <c r="C581" s="788"/>
      <c r="D581" s="789"/>
      <c r="E581" s="790">
        <f>SUM(E582:E584)</f>
        <v>398931807.30999994</v>
      </c>
      <c r="F581" s="790">
        <f>SUM(F582:F584)</f>
        <v>298599579.70999998</v>
      </c>
    </row>
    <row r="582" spans="1:6" ht="32.25" customHeight="1" x14ac:dyDescent="0.25">
      <c r="A582" s="507" t="s">
        <v>504</v>
      </c>
      <c r="B582" s="791"/>
      <c r="C582" s="791"/>
      <c r="D582" s="508"/>
      <c r="E582" s="723">
        <f>'[1]Nota II.2.5.d'!C37</f>
        <v>826885.26</v>
      </c>
      <c r="F582" s="723">
        <f>'[1]Nota II.2.5.d'!D37</f>
        <v>0</v>
      </c>
    </row>
    <row r="583" spans="1:6" x14ac:dyDescent="0.25">
      <c r="A583" s="507" t="s">
        <v>505</v>
      </c>
      <c r="B583" s="791"/>
      <c r="C583" s="791"/>
      <c r="D583" s="508"/>
      <c r="E583" s="723">
        <f>'[1]Nota II.2.5.d'!C38</f>
        <v>2983958.77</v>
      </c>
      <c r="F583" s="723">
        <f>'[1]Nota II.2.5.d'!D38</f>
        <v>2982116.94</v>
      </c>
    </row>
    <row r="584" spans="1:6" x14ac:dyDescent="0.25">
      <c r="A584" s="507" t="s">
        <v>506</v>
      </c>
      <c r="B584" s="791"/>
      <c r="C584" s="791"/>
      <c r="D584" s="508"/>
      <c r="E584" s="723">
        <f>'[1]Nota II.2.5.d'!C39</f>
        <v>395120963.27999997</v>
      </c>
      <c r="F584" s="723">
        <f>'[1]Nota II.2.5.d'!D39</f>
        <v>295617462.76999998</v>
      </c>
    </row>
    <row r="585" spans="1:6" x14ac:dyDescent="0.25">
      <c r="A585" s="509" t="s">
        <v>507</v>
      </c>
      <c r="B585" s="792"/>
      <c r="C585" s="792"/>
      <c r="D585" s="510"/>
      <c r="E585" s="793">
        <f>SUM(E586:E589)</f>
        <v>468669717.67999995</v>
      </c>
      <c r="F585" s="793">
        <f>SUM(F586:F589)</f>
        <v>320813910.44</v>
      </c>
    </row>
    <row r="586" spans="1:6" x14ac:dyDescent="0.25">
      <c r="A586" s="507" t="s">
        <v>508</v>
      </c>
      <c r="B586" s="791"/>
      <c r="C586" s="791"/>
      <c r="D586" s="508"/>
      <c r="E586" s="794">
        <f>'[1]Nota II.2.5.d'!C42</f>
        <v>238124799.93000001</v>
      </c>
      <c r="F586" s="794">
        <f>'[1]Nota II.2.5.d'!D42</f>
        <v>214275208.19</v>
      </c>
    </row>
    <row r="587" spans="1:6" x14ac:dyDescent="0.25">
      <c r="A587" s="795" t="s">
        <v>509</v>
      </c>
      <c r="B587" s="796"/>
      <c r="C587" s="796"/>
      <c r="D587" s="797"/>
      <c r="E587" s="794">
        <f>'[1]Nota II.2.5.d'!C43</f>
        <v>62377700.719999999</v>
      </c>
      <c r="F587" s="794">
        <f>'[1]Nota II.2.5.d'!D43</f>
        <v>23632750.629999999</v>
      </c>
    </row>
    <row r="588" spans="1:6" x14ac:dyDescent="0.25">
      <c r="A588" s="795" t="s">
        <v>510</v>
      </c>
      <c r="B588" s="796"/>
      <c r="C588" s="796"/>
      <c r="D588" s="797"/>
      <c r="E588" s="794">
        <f>'[1]Nota II.2.5.d'!C44</f>
        <v>0</v>
      </c>
      <c r="F588" s="794">
        <f>'[1]Nota II.2.5.d'!D44</f>
        <v>0</v>
      </c>
    </row>
    <row r="589" spans="1:6" ht="51.75" customHeight="1" thickBot="1" x14ac:dyDescent="0.3">
      <c r="A589" s="798" t="s">
        <v>511</v>
      </c>
      <c r="B589" s="799"/>
      <c r="C589" s="799"/>
      <c r="D589" s="800"/>
      <c r="E589" s="794">
        <f>'[1]Nota II.2.5.d'!C45</f>
        <v>168167217.03</v>
      </c>
      <c r="F589" s="794">
        <f>'[1]Nota II.2.5.d'!D45</f>
        <v>82905951.620000005</v>
      </c>
    </row>
    <row r="590" spans="1:6" ht="13.5" thickBot="1" x14ac:dyDescent="0.3">
      <c r="A590" s="477" t="s">
        <v>264</v>
      </c>
      <c r="B590" s="801"/>
      <c r="C590" s="801"/>
      <c r="D590" s="478"/>
      <c r="E590" s="479">
        <f>SUM(E578+E579)</f>
        <v>869310357.64999998</v>
      </c>
      <c r="F590" s="479">
        <f>SUM(F578+F579)</f>
        <v>621554964.23000002</v>
      </c>
    </row>
    <row r="595" spans="1:6" x14ac:dyDescent="0.2">
      <c r="A595" s="802" t="s">
        <v>512</v>
      </c>
      <c r="B595" s="803"/>
      <c r="C595" s="803"/>
    </row>
    <row r="596" spans="1:6" ht="13.5" thickBot="1" x14ac:dyDescent="0.25">
      <c r="A596" s="149"/>
      <c r="B596" s="149"/>
      <c r="C596" s="149"/>
    </row>
    <row r="597" spans="1:6" ht="26.25" thickBot="1" x14ac:dyDescent="0.3">
      <c r="A597" s="804"/>
      <c r="B597" s="805"/>
      <c r="C597" s="805"/>
      <c r="D597" s="806"/>
      <c r="E597" s="608" t="s">
        <v>405</v>
      </c>
      <c r="F597" s="396" t="s">
        <v>406</v>
      </c>
    </row>
    <row r="598" spans="1:6" ht="13.5" thickBot="1" x14ac:dyDescent="0.3">
      <c r="A598" s="807" t="s">
        <v>513</v>
      </c>
      <c r="B598" s="808"/>
      <c r="C598" s="808"/>
      <c r="D598" s="809"/>
      <c r="E598" s="656">
        <f>'[1]Nota II.2.5.e'!C32</f>
        <v>182289.02</v>
      </c>
      <c r="F598" s="656">
        <f>'[1]Nota II.2.5.e'!D32</f>
        <v>203988.1</v>
      </c>
    </row>
    <row r="599" spans="1:6" ht="13.5" thickBot="1" x14ac:dyDescent="0.3">
      <c r="A599" s="766" t="s">
        <v>514</v>
      </c>
      <c r="B599" s="767"/>
      <c r="C599" s="767"/>
      <c r="D599" s="768"/>
      <c r="E599" s="656">
        <f>SUM(E600:E601)</f>
        <v>51744616.019999996</v>
      </c>
      <c r="F599" s="656">
        <f>SUM(F600:F601)</f>
        <v>383951308.97000003</v>
      </c>
    </row>
    <row r="600" spans="1:6" ht="42.6" customHeight="1" x14ac:dyDescent="0.25">
      <c r="A600" s="755" t="s">
        <v>515</v>
      </c>
      <c r="B600" s="756"/>
      <c r="C600" s="756"/>
      <c r="D600" s="757"/>
      <c r="E600" s="661">
        <f>'[1]Nota II.2.5.e'!C36</f>
        <v>43237058.109999999</v>
      </c>
      <c r="F600" s="661">
        <f>'[1]Nota II.2.5.e'!D36</f>
        <v>135491492.43000001</v>
      </c>
    </row>
    <row r="601" spans="1:6" ht="15.75" customHeight="1" thickBot="1" x14ac:dyDescent="0.3">
      <c r="A601" s="810" t="s">
        <v>516</v>
      </c>
      <c r="B601" s="811"/>
      <c r="C601" s="811"/>
      <c r="D601" s="812"/>
      <c r="E601" s="666">
        <f>'[1]Nota II.2.5.e'!C37</f>
        <v>8507557.9100000001</v>
      </c>
      <c r="F601" s="666">
        <f>'[1]Nota II.2.5.e'!D37</f>
        <v>248459816.53999999</v>
      </c>
    </row>
    <row r="602" spans="1:6" ht="13.5" thickBot="1" x14ac:dyDescent="0.3">
      <c r="A602" s="766" t="s">
        <v>517</v>
      </c>
      <c r="B602" s="767"/>
      <c r="C602" s="767"/>
      <c r="D602" s="768"/>
      <c r="E602" s="656">
        <f>SUM(E603:E609)</f>
        <v>159541811.20999998</v>
      </c>
      <c r="F602" s="656">
        <f>SUM(F603:F609)</f>
        <v>150347856.31999999</v>
      </c>
    </row>
    <row r="603" spans="1:6" x14ac:dyDescent="0.25">
      <c r="A603" s="773" t="s">
        <v>518</v>
      </c>
      <c r="B603" s="774"/>
      <c r="C603" s="774"/>
      <c r="D603" s="775"/>
      <c r="E603" s="661">
        <f>'[1]Nota II.2.5.e'!C39</f>
        <v>0</v>
      </c>
      <c r="F603" s="661">
        <f>'[1]Nota II.2.5.e'!D39</f>
        <v>0</v>
      </c>
    </row>
    <row r="604" spans="1:6" x14ac:dyDescent="0.25">
      <c r="A604" s="813" t="s">
        <v>519</v>
      </c>
      <c r="B604" s="814"/>
      <c r="C604" s="814"/>
      <c r="D604" s="815"/>
      <c r="E604" s="666">
        <f>'[1]Nota II.2.5.e'!C40</f>
        <v>0</v>
      </c>
      <c r="F604" s="666">
        <f>'[1]Nota II.2.5.e'!D40</f>
        <v>4622.79</v>
      </c>
    </row>
    <row r="605" spans="1:6" x14ac:dyDescent="0.25">
      <c r="A605" s="777" t="s">
        <v>520</v>
      </c>
      <c r="B605" s="778"/>
      <c r="C605" s="778"/>
      <c r="D605" s="779"/>
      <c r="E605" s="794">
        <f>'[1]Nota II.2.5.e'!C41</f>
        <v>119055856.94</v>
      </c>
      <c r="F605" s="794">
        <f>'[1]Nota II.2.5.e'!D41</f>
        <v>100216756.63</v>
      </c>
    </row>
    <row r="606" spans="1:6" x14ac:dyDescent="0.25">
      <c r="A606" s="759" t="s">
        <v>521</v>
      </c>
      <c r="B606" s="760"/>
      <c r="C606" s="760"/>
      <c r="D606" s="761"/>
      <c r="E606" s="794">
        <f>'[1]Nota II.2.5.e'!C42</f>
        <v>0</v>
      </c>
      <c r="F606" s="794">
        <f>'[1]Nota II.2.5.e'!D42</f>
        <v>9838247.7699999996</v>
      </c>
    </row>
    <row r="607" spans="1:6" x14ac:dyDescent="0.25">
      <c r="A607" s="759" t="s">
        <v>522</v>
      </c>
      <c r="B607" s="760"/>
      <c r="C607" s="760"/>
      <c r="D607" s="761"/>
      <c r="E607" s="794">
        <f>'[1]Nota II.2.5.e'!C43</f>
        <v>0</v>
      </c>
      <c r="F607" s="794">
        <f>'[1]Nota II.2.5.e'!D43</f>
        <v>0</v>
      </c>
    </row>
    <row r="608" spans="1:6" x14ac:dyDescent="0.25">
      <c r="A608" s="759" t="s">
        <v>523</v>
      </c>
      <c r="B608" s="760"/>
      <c r="C608" s="760"/>
      <c r="D608" s="761"/>
      <c r="E608" s="794">
        <f>'[1]Nota II.2.5.e'!C44</f>
        <v>1150822.6100000001</v>
      </c>
      <c r="F608" s="794">
        <f>'[1]Nota II.2.5.e'!D44</f>
        <v>1697271.64</v>
      </c>
    </row>
    <row r="609" spans="1:6" ht="13.5" thickBot="1" x14ac:dyDescent="0.3">
      <c r="A609" s="816" t="s">
        <v>524</v>
      </c>
      <c r="B609" s="817"/>
      <c r="C609" s="817"/>
      <c r="D609" s="818"/>
      <c r="E609" s="819">
        <f>'[1]Nota II.2.5.e'!C45</f>
        <v>39335131.659999996</v>
      </c>
      <c r="F609" s="819">
        <f>'[1]Nota II.2.5.e'!D45</f>
        <v>38590957.490000002</v>
      </c>
    </row>
    <row r="610" spans="1:6" ht="13.5" thickBot="1" x14ac:dyDescent="0.3">
      <c r="A610" s="750" t="s">
        <v>264</v>
      </c>
      <c r="B610" s="820"/>
      <c r="C610" s="820"/>
      <c r="D610" s="751"/>
      <c r="E610" s="444">
        <f>SUM(E598+E599+E602)</f>
        <v>211468716.24999997</v>
      </c>
      <c r="F610" s="444">
        <f>SUM(F598+F599+F602)</f>
        <v>534503153.39000005</v>
      </c>
    </row>
    <row r="613" spans="1:6" x14ac:dyDescent="0.25">
      <c r="A613" s="362" t="s">
        <v>525</v>
      </c>
      <c r="B613" s="362"/>
      <c r="C613" s="362"/>
    </row>
    <row r="614" spans="1:6" ht="13.5" thickBot="1" x14ac:dyDescent="0.3">
      <c r="A614" s="365"/>
      <c r="B614" s="365"/>
      <c r="C614" s="365"/>
    </row>
    <row r="615" spans="1:6" ht="26.25" thickBot="1" x14ac:dyDescent="0.3">
      <c r="A615" s="325"/>
      <c r="B615" s="326"/>
      <c r="C615" s="326"/>
      <c r="D615" s="327"/>
      <c r="E615" s="693" t="s">
        <v>405</v>
      </c>
      <c r="F615" s="396" t="s">
        <v>406</v>
      </c>
    </row>
    <row r="616" spans="1:6" ht="13.5" thickBot="1" x14ac:dyDescent="0.3">
      <c r="A616" s="652" t="s">
        <v>514</v>
      </c>
      <c r="B616" s="653"/>
      <c r="C616" s="653"/>
      <c r="D616" s="654"/>
      <c r="E616" s="656">
        <f>E617+E618</f>
        <v>129794369.42</v>
      </c>
      <c r="F616" s="656">
        <f>F617+F618</f>
        <v>185021567.25999999</v>
      </c>
    </row>
    <row r="617" spans="1:6" x14ac:dyDescent="0.25">
      <c r="A617" s="773" t="s">
        <v>526</v>
      </c>
      <c r="B617" s="774"/>
      <c r="C617" s="774"/>
      <c r="D617" s="775"/>
      <c r="E617" s="661">
        <f>'[1]Nota II.2.5.f'!C30</f>
        <v>124105272.13</v>
      </c>
      <c r="F617" s="661">
        <f>'[1]Nota II.2.5.f'!D30</f>
        <v>180755820.22999999</v>
      </c>
    </row>
    <row r="618" spans="1:6" ht="13.5" thickBot="1" x14ac:dyDescent="0.3">
      <c r="A618" s="821" t="s">
        <v>527</v>
      </c>
      <c r="B618" s="822"/>
      <c r="C618" s="822"/>
      <c r="D618" s="823"/>
      <c r="E618" s="666">
        <f>'[1]Nota II.2.5.f'!C31</f>
        <v>5689097.29</v>
      </c>
      <c r="F618" s="666">
        <f>'[1]Nota II.2.5.f'!D31</f>
        <v>4265747.03</v>
      </c>
    </row>
    <row r="619" spans="1:6" ht="13.5" thickBot="1" x14ac:dyDescent="0.3">
      <c r="A619" s="652" t="s">
        <v>528</v>
      </c>
      <c r="B619" s="653"/>
      <c r="C619" s="653"/>
      <c r="D619" s="654"/>
      <c r="E619" s="656">
        <f>SUM(E620:E625)</f>
        <v>700321394.4000001</v>
      </c>
      <c r="F619" s="656">
        <f>SUM(F620:F625)</f>
        <v>669015074.16000009</v>
      </c>
    </row>
    <row r="620" spans="1:6" x14ac:dyDescent="0.25">
      <c r="A620" s="777" t="s">
        <v>529</v>
      </c>
      <c r="B620" s="778"/>
      <c r="C620" s="778"/>
      <c r="D620" s="779"/>
      <c r="E620" s="666">
        <f>'[1]Nota II.2.5.f'!C35</f>
        <v>21639</v>
      </c>
      <c r="F620" s="666">
        <f>'[1]Nota II.2.5.f'!D35</f>
        <v>56767.99</v>
      </c>
    </row>
    <row r="621" spans="1:6" x14ac:dyDescent="0.25">
      <c r="A621" s="759" t="s">
        <v>530</v>
      </c>
      <c r="B621" s="760"/>
      <c r="C621" s="760"/>
      <c r="D621" s="761"/>
      <c r="E621" s="666">
        <f>'[1]Nota II.2.5.f'!C36</f>
        <v>5801187.3600000003</v>
      </c>
      <c r="F621" s="666">
        <f>'[1]Nota II.2.5.f'!D36</f>
        <v>0</v>
      </c>
    </row>
    <row r="622" spans="1:6" x14ac:dyDescent="0.25">
      <c r="A622" s="759" t="s">
        <v>531</v>
      </c>
      <c r="B622" s="760"/>
      <c r="C622" s="760"/>
      <c r="D622" s="761"/>
      <c r="E622" s="666">
        <f>'[1]Nota II.2.5.f'!C37</f>
        <v>116339088.13</v>
      </c>
      <c r="F622" s="666">
        <f>'[1]Nota II.2.5.f'!D37</f>
        <v>183357390.22999999</v>
      </c>
    </row>
    <row r="623" spans="1:6" x14ac:dyDescent="0.25">
      <c r="A623" s="759" t="s">
        <v>532</v>
      </c>
      <c r="B623" s="760"/>
      <c r="C623" s="760"/>
      <c r="D623" s="761"/>
      <c r="E623" s="666">
        <f>'[1]Nota II.2.5.f'!C38</f>
        <v>8650258.25</v>
      </c>
      <c r="F623" s="666">
        <f>'[1]Nota II.2.5.f'!D38</f>
        <v>40556798.039999999</v>
      </c>
    </row>
    <row r="624" spans="1:6" x14ac:dyDescent="0.25">
      <c r="A624" s="759" t="s">
        <v>533</v>
      </c>
      <c r="B624" s="760"/>
      <c r="C624" s="760"/>
      <c r="D624" s="761"/>
      <c r="E624" s="666">
        <f>'[1]Nota II.2.5.f'!C39</f>
        <v>2214109.71</v>
      </c>
      <c r="F624" s="666">
        <f>'[1]Nota II.2.5.f'!D39</f>
        <v>1949046.8</v>
      </c>
    </row>
    <row r="625" spans="1:6" ht="13.5" thickBot="1" x14ac:dyDescent="0.3">
      <c r="A625" s="687" t="s">
        <v>354</v>
      </c>
      <c r="B625" s="688"/>
      <c r="C625" s="688"/>
      <c r="D625" s="689"/>
      <c r="E625" s="666">
        <f>'[1]Nota II.2.5.f'!C40</f>
        <v>567295111.95000005</v>
      </c>
      <c r="F625" s="666">
        <f>'[1]Nota II.2.5.f'!D40</f>
        <v>443095071.10000002</v>
      </c>
    </row>
    <row r="626" spans="1:6" ht="13.5" thickBot="1" x14ac:dyDescent="0.3">
      <c r="A626" s="750" t="s">
        <v>264</v>
      </c>
      <c r="B626" s="820"/>
      <c r="C626" s="820"/>
      <c r="D626" s="751"/>
      <c r="E626" s="444">
        <f>SUM(E616+E619)</f>
        <v>830115763.82000005</v>
      </c>
      <c r="F626" s="444">
        <f>SUM(F616+F619)</f>
        <v>854036641.42000008</v>
      </c>
    </row>
    <row r="632" spans="1:6" x14ac:dyDescent="0.25">
      <c r="A632" s="824" t="s">
        <v>534</v>
      </c>
      <c r="B632" s="824"/>
      <c r="C632" s="824"/>
      <c r="D632" s="824"/>
      <c r="E632" s="824"/>
      <c r="F632" s="824"/>
    </row>
    <row r="633" spans="1:6" ht="13.5" thickBot="1" x14ac:dyDescent="0.3">
      <c r="A633" s="825"/>
    </row>
    <row r="634" spans="1:6" ht="13.5" thickBot="1" x14ac:dyDescent="0.3">
      <c r="A634" s="826" t="s">
        <v>535</v>
      </c>
      <c r="B634" s="827"/>
      <c r="C634" s="828" t="s">
        <v>285</v>
      </c>
      <c r="D634" s="829"/>
      <c r="E634" s="829"/>
      <c r="F634" s="830"/>
    </row>
    <row r="635" spans="1:6" ht="13.5" thickBot="1" x14ac:dyDescent="0.3">
      <c r="A635" s="831"/>
      <c r="B635" s="832"/>
      <c r="C635" s="833" t="s">
        <v>536</v>
      </c>
      <c r="D635" s="834" t="s">
        <v>537</v>
      </c>
      <c r="E635" s="835" t="s">
        <v>407</v>
      </c>
      <c r="F635" s="834" t="s">
        <v>414</v>
      </c>
    </row>
    <row r="636" spans="1:6" ht="33.75" customHeight="1" x14ac:dyDescent="0.25">
      <c r="A636" s="836" t="s">
        <v>538</v>
      </c>
      <c r="B636" s="837"/>
      <c r="C636" s="838">
        <f>SUM(C637:C657)</f>
        <v>25525864.140000001</v>
      </c>
      <c r="D636" s="838">
        <f t="shared" ref="D636:F636" si="22">SUM(D637:D657)</f>
        <v>37745627.259999998</v>
      </c>
      <c r="E636" s="838">
        <f t="shared" si="22"/>
        <v>224104502.75</v>
      </c>
      <c r="F636" s="347">
        <f t="shared" si="22"/>
        <v>614162294.2299999</v>
      </c>
    </row>
    <row r="637" spans="1:6" ht="13.5" customHeight="1" x14ac:dyDescent="0.25">
      <c r="A637" s="839" t="s">
        <v>252</v>
      </c>
      <c r="B637" s="840"/>
      <c r="C637" s="841">
        <f>'[1]Nota II.2.5.g'!C11</f>
        <v>0</v>
      </c>
      <c r="D637" s="841">
        <f>'[1]Nota II.2.5.g'!D11</f>
        <v>0</v>
      </c>
      <c r="E637" s="841">
        <f>'[1]Nota II.2.5.g'!E11</f>
        <v>31212</v>
      </c>
      <c r="F637" s="347">
        <f>'[1]Nota II.2.5.g'!F11</f>
        <v>1204387</v>
      </c>
    </row>
    <row r="638" spans="1:6" ht="13.5" customHeight="1" x14ac:dyDescent="0.25">
      <c r="A638" s="842" t="s">
        <v>238</v>
      </c>
      <c r="B638" s="843"/>
      <c r="C638" s="841">
        <f>'[1]Nota II.2.5.g'!C12</f>
        <v>174873.4</v>
      </c>
      <c r="D638" s="841">
        <f>'[1]Nota II.2.5.g'!D12</f>
        <v>414404.16</v>
      </c>
      <c r="E638" s="841">
        <f>'[1]Nota II.2.5.g'!E12</f>
        <v>302</v>
      </c>
      <c r="F638" s="347">
        <f>'[1]Nota II.2.5.g'!F12</f>
        <v>5928564.1799999997</v>
      </c>
    </row>
    <row r="639" spans="1:6" ht="13.5" customHeight="1" x14ac:dyDescent="0.25">
      <c r="A639" s="842" t="s">
        <v>239</v>
      </c>
      <c r="B639" s="843"/>
      <c r="C639" s="841">
        <f>'[1]Nota II.2.5.g'!C13</f>
        <v>0</v>
      </c>
      <c r="D639" s="841">
        <f>'[1]Nota II.2.5.g'!D13</f>
        <v>0</v>
      </c>
      <c r="E639" s="841">
        <f>'[1]Nota II.2.5.g'!E13</f>
        <v>1346636.34</v>
      </c>
      <c r="F639" s="347">
        <f>'[1]Nota II.2.5.g'!F13</f>
        <v>0</v>
      </c>
    </row>
    <row r="640" spans="1:6" ht="27" customHeight="1" x14ac:dyDescent="0.25">
      <c r="A640" s="842" t="s">
        <v>240</v>
      </c>
      <c r="B640" s="843"/>
      <c r="C640" s="841">
        <f>'[1]Nota II.2.5.g'!C14</f>
        <v>0</v>
      </c>
      <c r="D640" s="841">
        <f>'[1]Nota II.2.5.g'!D14</f>
        <v>30337247.960000001</v>
      </c>
      <c r="E640" s="841">
        <f>'[1]Nota II.2.5.g'!E14</f>
        <v>7053888.8600000003</v>
      </c>
      <c r="F640" s="347">
        <f>'[1]Nota II.2.5.g'!F14</f>
        <v>569928162.72000003</v>
      </c>
    </row>
    <row r="641" spans="1:6" ht="24.75" customHeight="1" x14ac:dyDescent="0.25">
      <c r="A641" s="842" t="s">
        <v>241</v>
      </c>
      <c r="B641" s="843"/>
      <c r="C641" s="841">
        <f>'[1]Nota II.2.5.g'!C15</f>
        <v>0</v>
      </c>
      <c r="D641" s="841">
        <f>'[1]Nota II.2.5.g'!D15</f>
        <v>0</v>
      </c>
      <c r="E641" s="841">
        <f>'[1]Nota II.2.5.g'!E15</f>
        <v>3538371.88</v>
      </c>
      <c r="F641" s="347">
        <f>'[1]Nota II.2.5.g'!F15</f>
        <v>0</v>
      </c>
    </row>
    <row r="642" spans="1:6" ht="23.25" customHeight="1" x14ac:dyDescent="0.25">
      <c r="A642" s="842" t="s">
        <v>242</v>
      </c>
      <c r="B642" s="843"/>
      <c r="C642" s="841">
        <f>'[1]Nota II.2.5.g'!C16</f>
        <v>0</v>
      </c>
      <c r="D642" s="841">
        <f>'[1]Nota II.2.5.g'!D16</f>
        <v>0</v>
      </c>
      <c r="E642" s="841">
        <f>'[1]Nota II.2.5.g'!E16</f>
        <v>16884.29</v>
      </c>
      <c r="F642" s="347">
        <f>'[1]Nota II.2.5.g'!F16</f>
        <v>0</v>
      </c>
    </row>
    <row r="643" spans="1:6" ht="24.75" customHeight="1" x14ac:dyDescent="0.25">
      <c r="A643" s="842" t="s">
        <v>243</v>
      </c>
      <c r="B643" s="843"/>
      <c r="C643" s="841">
        <f>'[1]Nota II.2.5.g'!C17</f>
        <v>1157469.6200000001</v>
      </c>
      <c r="D643" s="841">
        <f>'[1]Nota II.2.5.g'!D17</f>
        <v>6740673.9900000002</v>
      </c>
      <c r="E643" s="841">
        <f>'[1]Nota II.2.5.g'!E17</f>
        <v>172913245.19999999</v>
      </c>
      <c r="F643" s="347">
        <f>'[1]Nota II.2.5.g'!F17</f>
        <v>26807582.77</v>
      </c>
    </row>
    <row r="644" spans="1:6" x14ac:dyDescent="0.25">
      <c r="A644" s="842" t="s">
        <v>244</v>
      </c>
      <c r="B644" s="843"/>
      <c r="C644" s="841">
        <f>'[1]Nota II.2.5.g'!C18</f>
        <v>635.25</v>
      </c>
      <c r="D644" s="841">
        <f>'[1]Nota II.2.5.g'!D18</f>
        <v>24718.04</v>
      </c>
      <c r="E644" s="841">
        <f>'[1]Nota II.2.5.g'!E18</f>
        <v>5542023.3499999996</v>
      </c>
      <c r="F644" s="347">
        <f>'[1]Nota II.2.5.g'!F18</f>
        <v>1946496.89</v>
      </c>
    </row>
    <row r="645" spans="1:6" ht="29.25" customHeight="1" x14ac:dyDescent="0.25">
      <c r="A645" s="842" t="s">
        <v>245</v>
      </c>
      <c r="B645" s="843"/>
      <c r="C645" s="841">
        <f>'[1]Nota II.2.5.g'!C19</f>
        <v>0</v>
      </c>
      <c r="D645" s="841">
        <f>'[1]Nota II.2.5.g'!D19</f>
        <v>0</v>
      </c>
      <c r="E645" s="841">
        <f>'[1]Nota II.2.5.g'!E19</f>
        <v>633207.02</v>
      </c>
      <c r="F645" s="347">
        <f>'[1]Nota II.2.5.g'!F19</f>
        <v>0</v>
      </c>
    </row>
    <row r="646" spans="1:6" x14ac:dyDescent="0.25">
      <c r="A646" s="842" t="s">
        <v>539</v>
      </c>
      <c r="B646" s="843"/>
      <c r="C646" s="841">
        <f>'[1]Nota II.2.5.g'!C20</f>
        <v>815839.59</v>
      </c>
      <c r="D646" s="841">
        <f>'[1]Nota II.2.5.g'!D20</f>
        <v>15.4</v>
      </c>
      <c r="E646" s="841">
        <f>'[1]Nota II.2.5.g'!E20</f>
        <v>35204</v>
      </c>
      <c r="F646" s="347">
        <f>'[1]Nota II.2.5.g'!F20</f>
        <v>220000</v>
      </c>
    </row>
    <row r="647" spans="1:6" ht="12.75" customHeight="1" x14ac:dyDescent="0.25">
      <c r="A647" s="842" t="s">
        <v>254</v>
      </c>
      <c r="B647" s="843"/>
      <c r="C647" s="841">
        <f>'[1]Nota II.2.5.g'!C22</f>
        <v>0</v>
      </c>
      <c r="D647" s="841">
        <f>'[1]Nota II.2.5.g'!D22</f>
        <v>50127.42</v>
      </c>
      <c r="E647" s="841">
        <f>'[1]Nota II.2.5.g'!E22</f>
        <v>27395</v>
      </c>
      <c r="F647" s="347">
        <f>'[1]Nota II.2.5.g'!F22</f>
        <v>2868399.82</v>
      </c>
    </row>
    <row r="648" spans="1:6" ht="12.75" customHeight="1" x14ac:dyDescent="0.25">
      <c r="A648" s="842" t="s">
        <v>540</v>
      </c>
      <c r="B648" s="843"/>
      <c r="C648" s="841">
        <f>'[1]Nota II.2.5.g'!C21</f>
        <v>0</v>
      </c>
      <c r="D648" s="841">
        <f>'[1]Nota II.2.5.g'!D21</f>
        <v>43809</v>
      </c>
      <c r="E648" s="841">
        <f>'[1]Nota II.2.5.g'!E21</f>
        <v>230441</v>
      </c>
      <c r="F648" s="347">
        <f>'[1]Nota II.2.5.g'!F21</f>
        <v>0</v>
      </c>
    </row>
    <row r="649" spans="1:6" x14ac:dyDescent="0.25">
      <c r="A649" s="842" t="s">
        <v>257</v>
      </c>
      <c r="B649" s="843"/>
      <c r="C649" s="841">
        <f>'[1]Nota II.2.5.g'!C23</f>
        <v>0</v>
      </c>
      <c r="D649" s="841">
        <f>'[1]Nota II.2.5.g'!D23</f>
        <v>0</v>
      </c>
      <c r="E649" s="841">
        <f>'[1]Nota II.2.5.g'!E23</f>
        <v>65672.399999999994</v>
      </c>
      <c r="F649" s="347">
        <f>'[1]Nota II.2.5.g'!F23</f>
        <v>5000000</v>
      </c>
    </row>
    <row r="650" spans="1:6" ht="12.75" customHeight="1" x14ac:dyDescent="0.25">
      <c r="A650" s="842" t="s">
        <v>256</v>
      </c>
      <c r="B650" s="843"/>
      <c r="C650" s="841">
        <f>'[1]Nota II.2.5.g'!C24</f>
        <v>0</v>
      </c>
      <c r="D650" s="841">
        <f>'[1]Nota II.2.5.g'!D24</f>
        <v>91.59</v>
      </c>
      <c r="E650" s="841">
        <f>'[1]Nota II.2.5.g'!E24</f>
        <v>121474</v>
      </c>
      <c r="F650" s="347">
        <f>'[1]Nota II.2.5.g'!F24</f>
        <v>0</v>
      </c>
    </row>
    <row r="651" spans="1:6" x14ac:dyDescent="0.25">
      <c r="A651" s="842" t="s">
        <v>255</v>
      </c>
      <c r="B651" s="843"/>
      <c r="C651" s="841">
        <f>'[1]Nota II.2.5.g'!C25</f>
        <v>0</v>
      </c>
      <c r="D651" s="841">
        <f>'[1]Nota II.2.5.g'!D25</f>
        <v>0</v>
      </c>
      <c r="E651" s="841">
        <f>'[1]Nota II.2.5.g'!E25</f>
        <v>98288</v>
      </c>
      <c r="F651" s="347">
        <f>'[1]Nota II.2.5.g'!F25</f>
        <v>71218.75</v>
      </c>
    </row>
    <row r="652" spans="1:6" ht="12.75" customHeight="1" x14ac:dyDescent="0.25">
      <c r="A652" s="842" t="s">
        <v>541</v>
      </c>
      <c r="B652" s="843"/>
      <c r="C652" s="841">
        <f>'[1]Nota II.2.5.g'!C26</f>
        <v>0</v>
      </c>
      <c r="D652" s="841">
        <f>'[1]Nota II.2.5.g'!D26</f>
        <v>0</v>
      </c>
      <c r="E652" s="841">
        <f>'[1]Nota II.2.5.g'!E26</f>
        <v>153634</v>
      </c>
      <c r="F652" s="347">
        <f>'[1]Nota II.2.5.g'!F26</f>
        <v>66392</v>
      </c>
    </row>
    <row r="653" spans="1:6" x14ac:dyDescent="0.25">
      <c r="A653" s="842" t="s">
        <v>542</v>
      </c>
      <c r="B653" s="843"/>
      <c r="C653" s="841">
        <f>'[1]Nota II.2.5.g'!C27</f>
        <v>0</v>
      </c>
      <c r="D653" s="841">
        <f>'[1]Nota II.2.5.g'!D27</f>
        <v>50523.05</v>
      </c>
      <c r="E653" s="841">
        <f>'[1]Nota II.2.5.g'!E27</f>
        <v>0</v>
      </c>
      <c r="F653" s="347">
        <f>'[1]Nota II.2.5.g'!F27</f>
        <v>50523.05</v>
      </c>
    </row>
    <row r="654" spans="1:6" ht="12.75" customHeight="1" x14ac:dyDescent="0.25">
      <c r="A654" s="842" t="s">
        <v>248</v>
      </c>
      <c r="B654" s="843"/>
      <c r="C654" s="841">
        <f>'[1]Nota II.2.5.g'!C28+'[1]Nota II.2.5.g'!C30</f>
        <v>12103446.48</v>
      </c>
      <c r="D654" s="841">
        <f>'[1]Nota II.2.5.g'!D28+'[1]Nota II.2.5.g'!D30</f>
        <v>0</v>
      </c>
      <c r="E654" s="841">
        <f>'[1]Nota II.2.5.g'!E28+'[1]Nota II.2.5.g'!E30</f>
        <v>1957193.5</v>
      </c>
      <c r="F654" s="347">
        <f>'[1]Nota II.2.5.g'!F28+'[1]Nota II.2.5.g'!F30</f>
        <v>0</v>
      </c>
    </row>
    <row r="655" spans="1:6" ht="12.75" customHeight="1" x14ac:dyDescent="0.25">
      <c r="A655" s="842" t="s">
        <v>249</v>
      </c>
      <c r="B655" s="843"/>
      <c r="C655" s="841">
        <f>'[1]Nota II.2.5.g'!C29</f>
        <v>11250000</v>
      </c>
      <c r="D655" s="841">
        <f>'[1]Nota II.2.5.g'!D29</f>
        <v>0</v>
      </c>
      <c r="E655" s="841">
        <f>'[1]Nota II.2.5.g'!E29</f>
        <v>2175075.96</v>
      </c>
      <c r="F655" s="347">
        <f>'[1]Nota II.2.5.g'!F29</f>
        <v>0</v>
      </c>
    </row>
    <row r="656" spans="1:6" x14ac:dyDescent="0.25">
      <c r="A656" s="842" t="s">
        <v>250</v>
      </c>
      <c r="B656" s="843"/>
      <c r="C656" s="841">
        <f>'[1]Nota II.2.5.g'!C31</f>
        <v>23599.8</v>
      </c>
      <c r="D656" s="841">
        <f>'[1]Nota II.2.5.g'!D31</f>
        <v>82953.929999999993</v>
      </c>
      <c r="E656" s="841">
        <f>'[1]Nota II.2.5.g'!E31</f>
        <v>28164353.949999999</v>
      </c>
      <c r="F656" s="347">
        <f>'[1]Nota II.2.5.g'!F31</f>
        <v>0</v>
      </c>
    </row>
    <row r="657" spans="1:6" x14ac:dyDescent="0.25">
      <c r="A657" s="842" t="s">
        <v>251</v>
      </c>
      <c r="B657" s="843"/>
      <c r="C657" s="841">
        <f>'[1]Nota II.2.5.g'!C32</f>
        <v>0</v>
      </c>
      <c r="D657" s="841">
        <f>'[1]Nota II.2.5.g'!D32</f>
        <v>1062.72</v>
      </c>
      <c r="E657" s="841">
        <f>'[1]Nota II.2.5.g'!E32</f>
        <v>0</v>
      </c>
      <c r="F657" s="347">
        <f>'[1]Nota II.2.5.g'!F32</f>
        <v>70567.05</v>
      </c>
    </row>
    <row r="658" spans="1:6" x14ac:dyDescent="0.25">
      <c r="A658" s="844" t="s">
        <v>543</v>
      </c>
      <c r="B658" s="845"/>
      <c r="C658" s="841">
        <f>'[1]Nota II.2.5.g'!C33</f>
        <v>150.66</v>
      </c>
      <c r="D658" s="841">
        <f>'[1]Nota II.2.5.g'!D33</f>
        <v>195050.57</v>
      </c>
      <c r="E658" s="841">
        <f>'[1]Nota II.2.5.g'!E33</f>
        <v>1590938.99</v>
      </c>
      <c r="F658" s="347">
        <f>'[1]Nota II.2.5.g'!F33</f>
        <v>4667850.71</v>
      </c>
    </row>
    <row r="659" spans="1:6" ht="13.5" thickBot="1" x14ac:dyDescent="0.3">
      <c r="A659" s="846" t="s">
        <v>544</v>
      </c>
      <c r="B659" s="847"/>
      <c r="C659" s="841">
        <f>'[1]Nota II.2.5.g'!C34</f>
        <v>5049.07</v>
      </c>
      <c r="D659" s="841">
        <f>'[1]Nota II.2.5.g'!D34</f>
        <v>5601.44</v>
      </c>
      <c r="E659" s="841">
        <f>'[1]Nota II.2.5.g'!E34</f>
        <v>1714408.54</v>
      </c>
      <c r="F659" s="347">
        <f>'[1]Nota II.2.5.g'!F34</f>
        <v>101916.33</v>
      </c>
    </row>
    <row r="660" spans="1:6" ht="13.5" thickBot="1" x14ac:dyDescent="0.3">
      <c r="A660" s="848" t="s">
        <v>264</v>
      </c>
      <c r="B660" s="849"/>
      <c r="C660" s="850">
        <f>C636+C658+C659</f>
        <v>25531063.870000001</v>
      </c>
      <c r="D660" s="850">
        <f>D636+D658+D659</f>
        <v>37946279.269999996</v>
      </c>
      <c r="E660" s="850">
        <f>E636+E658+E659</f>
        <v>227409850.28</v>
      </c>
      <c r="F660" s="516">
        <f>F636+F658+F659</f>
        <v>618932061.26999998</v>
      </c>
    </row>
    <row r="663" spans="1:6" ht="30" customHeight="1" x14ac:dyDescent="0.25">
      <c r="A663" s="283" t="s">
        <v>545</v>
      </c>
      <c r="B663" s="283"/>
      <c r="C663" s="283"/>
      <c r="D663" s="283"/>
      <c r="E663" s="851"/>
      <c r="F663" s="851"/>
    </row>
    <row r="665" spans="1:6" x14ac:dyDescent="0.25">
      <c r="A665" s="824" t="s">
        <v>546</v>
      </c>
      <c r="B665" s="824"/>
      <c r="C665" s="824"/>
      <c r="D665" s="824"/>
    </row>
    <row r="666" spans="1:6" ht="13.5" thickBot="1" x14ac:dyDescent="0.3"/>
    <row r="667" spans="1:6" ht="51.75" thickBot="1" x14ac:dyDescent="0.3">
      <c r="A667" s="524" t="s">
        <v>191</v>
      </c>
      <c r="B667" s="852"/>
      <c r="C667" s="853" t="s">
        <v>547</v>
      </c>
      <c r="D667" s="853" t="s">
        <v>548</v>
      </c>
    </row>
    <row r="668" spans="1:6" ht="13.5" thickBot="1" x14ac:dyDescent="0.3">
      <c r="A668" s="526" t="s">
        <v>549</v>
      </c>
      <c r="B668" s="854"/>
      <c r="C668" s="855">
        <f>'[1]Nota II.3.1'!C17</f>
        <v>9048</v>
      </c>
      <c r="D668" s="856">
        <f>'[1]Nota II.3.1'!D17</f>
        <v>9202</v>
      </c>
    </row>
    <row r="671" spans="1:6" x14ac:dyDescent="0.25">
      <c r="A671" s="604" t="s">
        <v>550</v>
      </c>
      <c r="B671" s="131"/>
      <c r="C671" s="131"/>
      <c r="D671" s="131"/>
      <c r="E671" s="131"/>
    </row>
    <row r="672" spans="1:6" x14ac:dyDescent="0.25">
      <c r="B672" s="857"/>
      <c r="C672" s="857"/>
    </row>
    <row r="673" spans="1:7" x14ac:dyDescent="0.25">
      <c r="A673" s="107" t="s">
        <v>551</v>
      </c>
      <c r="B673" s="857"/>
      <c r="C673" s="857"/>
    </row>
    <row r="674" spans="1:7" x14ac:dyDescent="0.25">
      <c r="A674" s="858"/>
    </row>
    <row r="675" spans="1:7" x14ac:dyDescent="0.25">
      <c r="A675" s="858"/>
    </row>
    <row r="676" spans="1:7" x14ac:dyDescent="0.25">
      <c r="A676" s="604" t="s">
        <v>552</v>
      </c>
      <c r="B676" s="859"/>
      <c r="C676" s="859"/>
      <c r="D676" s="859"/>
      <c r="E676" s="859"/>
    </row>
    <row r="677" spans="1:7" x14ac:dyDescent="0.25">
      <c r="B677" s="857"/>
      <c r="C677" s="857"/>
    </row>
    <row r="678" spans="1:7" x14ac:dyDescent="0.25">
      <c r="A678" s="107" t="s">
        <v>553</v>
      </c>
    </row>
    <row r="687" spans="1:7" x14ac:dyDescent="0.2">
      <c r="A687" s="301"/>
      <c r="B687" s="301"/>
      <c r="C687" s="860"/>
      <c r="D687" s="861"/>
      <c r="E687" s="301"/>
      <c r="F687" s="301"/>
    </row>
    <row r="688" spans="1:7" x14ac:dyDescent="0.2">
      <c r="A688" s="862" t="s">
        <v>554</v>
      </c>
      <c r="B688" s="862"/>
      <c r="C688" s="863">
        <v>45057</v>
      </c>
      <c r="D688" s="863"/>
      <c r="E688" s="862"/>
      <c r="F688" s="864" t="s">
        <v>555</v>
      </c>
      <c r="G688" s="864"/>
    </row>
    <row r="689" spans="1:7" x14ac:dyDescent="0.2">
      <c r="A689" s="862" t="s">
        <v>81</v>
      </c>
      <c r="B689" s="149"/>
      <c r="C689" s="864" t="s">
        <v>79</v>
      </c>
      <c r="D689" s="221"/>
      <c r="E689" s="862"/>
      <c r="F689" s="864" t="s">
        <v>82</v>
      </c>
      <c r="G689" s="864"/>
    </row>
  </sheetData>
  <mergeCells count="461">
    <mergeCell ref="A667:B667"/>
    <mergeCell ref="A668:B668"/>
    <mergeCell ref="C687:D687"/>
    <mergeCell ref="C688:D688"/>
    <mergeCell ref="F688:G688"/>
    <mergeCell ref="C689:D689"/>
    <mergeCell ref="F689:G689"/>
    <mergeCell ref="A657:B657"/>
    <mergeCell ref="A658:B658"/>
    <mergeCell ref="A659:B659"/>
    <mergeCell ref="A660:B660"/>
    <mergeCell ref="A663:F663"/>
    <mergeCell ref="A665:D665"/>
    <mergeCell ref="A651:B651"/>
    <mergeCell ref="A652:B652"/>
    <mergeCell ref="A653:B653"/>
    <mergeCell ref="A654:B654"/>
    <mergeCell ref="A655:B655"/>
    <mergeCell ref="A656:B656"/>
    <mergeCell ref="A645:B645"/>
    <mergeCell ref="A646:B646"/>
    <mergeCell ref="A647:B647"/>
    <mergeCell ref="A648:B648"/>
    <mergeCell ref="A649:B649"/>
    <mergeCell ref="A650:B650"/>
    <mergeCell ref="A639:B639"/>
    <mergeCell ref="A640:B640"/>
    <mergeCell ref="A641:B641"/>
    <mergeCell ref="A642:B642"/>
    <mergeCell ref="A643:B643"/>
    <mergeCell ref="A644:B644"/>
    <mergeCell ref="A632:F632"/>
    <mergeCell ref="A634:B635"/>
    <mergeCell ref="C634:F634"/>
    <mergeCell ref="A636:B636"/>
    <mergeCell ref="A637:B637"/>
    <mergeCell ref="A638:B638"/>
    <mergeCell ref="A621:D621"/>
    <mergeCell ref="A622:D622"/>
    <mergeCell ref="A623:D623"/>
    <mergeCell ref="A624:D624"/>
    <mergeCell ref="A625:D625"/>
    <mergeCell ref="A626:D626"/>
    <mergeCell ref="A615:D615"/>
    <mergeCell ref="A616:D616"/>
    <mergeCell ref="A617:D617"/>
    <mergeCell ref="A618:D618"/>
    <mergeCell ref="A619:D619"/>
    <mergeCell ref="A620:D620"/>
    <mergeCell ref="A606:D606"/>
    <mergeCell ref="A607:D607"/>
    <mergeCell ref="A608:D608"/>
    <mergeCell ref="A609:D609"/>
    <mergeCell ref="A610:D610"/>
    <mergeCell ref="A613:C613"/>
    <mergeCell ref="A600:D600"/>
    <mergeCell ref="A601:D601"/>
    <mergeCell ref="A602:D602"/>
    <mergeCell ref="A603:D603"/>
    <mergeCell ref="A604:D604"/>
    <mergeCell ref="A605:D605"/>
    <mergeCell ref="A588:D588"/>
    <mergeCell ref="A589:D589"/>
    <mergeCell ref="A590:D590"/>
    <mergeCell ref="A597:D597"/>
    <mergeCell ref="A598:D598"/>
    <mergeCell ref="A599:D599"/>
    <mergeCell ref="A582:D582"/>
    <mergeCell ref="A583:D583"/>
    <mergeCell ref="A584:D584"/>
    <mergeCell ref="A585:D585"/>
    <mergeCell ref="A586:D586"/>
    <mergeCell ref="A587:D587"/>
    <mergeCell ref="A575:D575"/>
    <mergeCell ref="A577:D577"/>
    <mergeCell ref="A578:D578"/>
    <mergeCell ref="A579:D579"/>
    <mergeCell ref="A580:D580"/>
    <mergeCell ref="A581:D581"/>
    <mergeCell ref="A565:D565"/>
    <mergeCell ref="A566:D566"/>
    <mergeCell ref="A567:D567"/>
    <mergeCell ref="A568:D568"/>
    <mergeCell ref="A569:D569"/>
    <mergeCell ref="A570:D570"/>
    <mergeCell ref="A559:D559"/>
    <mergeCell ref="A560:D560"/>
    <mergeCell ref="A561:D561"/>
    <mergeCell ref="A562:D562"/>
    <mergeCell ref="A563:D563"/>
    <mergeCell ref="A564:D564"/>
    <mergeCell ref="A553:D553"/>
    <mergeCell ref="A554:D554"/>
    <mergeCell ref="A555:D555"/>
    <mergeCell ref="A556:D556"/>
    <mergeCell ref="A557:D557"/>
    <mergeCell ref="A558:D558"/>
    <mergeCell ref="A542:B542"/>
    <mergeCell ref="A543:B543"/>
    <mergeCell ref="A544:B544"/>
    <mergeCell ref="A545:B545"/>
    <mergeCell ref="A546:B546"/>
    <mergeCell ref="A551:C551"/>
    <mergeCell ref="A536:B536"/>
    <mergeCell ref="A537:B537"/>
    <mergeCell ref="A538:B538"/>
    <mergeCell ref="A539:B539"/>
    <mergeCell ref="A540:B540"/>
    <mergeCell ref="A541:B541"/>
    <mergeCell ref="A525:D525"/>
    <mergeCell ref="A526:D526"/>
    <mergeCell ref="A527:D527"/>
    <mergeCell ref="A529:G529"/>
    <mergeCell ref="A532:D532"/>
    <mergeCell ref="A534:B534"/>
    <mergeCell ref="C534:C535"/>
    <mergeCell ref="D534:D535"/>
    <mergeCell ref="A535:B535"/>
    <mergeCell ref="A518:C518"/>
    <mergeCell ref="A520:D520"/>
    <mergeCell ref="A521:D521"/>
    <mergeCell ref="A522:D522"/>
    <mergeCell ref="A523:D523"/>
    <mergeCell ref="A524:D524"/>
    <mergeCell ref="A509:D509"/>
    <mergeCell ref="A510:D510"/>
    <mergeCell ref="A511:D511"/>
    <mergeCell ref="A512:D512"/>
    <mergeCell ref="A513:D513"/>
    <mergeCell ref="A514:D514"/>
    <mergeCell ref="A503:D503"/>
    <mergeCell ref="A504:D504"/>
    <mergeCell ref="A505:D505"/>
    <mergeCell ref="A506:D506"/>
    <mergeCell ref="A507:D507"/>
    <mergeCell ref="A508:D508"/>
    <mergeCell ref="A497:D497"/>
    <mergeCell ref="A498:D498"/>
    <mergeCell ref="A499:D499"/>
    <mergeCell ref="A500:D500"/>
    <mergeCell ref="A501:D501"/>
    <mergeCell ref="A502:D502"/>
    <mergeCell ref="A491:D491"/>
    <mergeCell ref="A492:D492"/>
    <mergeCell ref="A493:D493"/>
    <mergeCell ref="A494:D494"/>
    <mergeCell ref="A495:D495"/>
    <mergeCell ref="A496:D496"/>
    <mergeCell ref="A485:D485"/>
    <mergeCell ref="A486:D486"/>
    <mergeCell ref="A487:D487"/>
    <mergeCell ref="A488:D488"/>
    <mergeCell ref="A489:D489"/>
    <mergeCell ref="A490:D490"/>
    <mergeCell ref="A479:D479"/>
    <mergeCell ref="A480:D480"/>
    <mergeCell ref="A481:D481"/>
    <mergeCell ref="A482:D482"/>
    <mergeCell ref="A483:D483"/>
    <mergeCell ref="A484:D484"/>
    <mergeCell ref="A465:C465"/>
    <mergeCell ref="A466:C466"/>
    <mergeCell ref="A469:I469"/>
    <mergeCell ref="A475:C475"/>
    <mergeCell ref="A477:D477"/>
    <mergeCell ref="A478:D478"/>
    <mergeCell ref="A459:C459"/>
    <mergeCell ref="A460:C460"/>
    <mergeCell ref="A461:C461"/>
    <mergeCell ref="A462:C462"/>
    <mergeCell ref="A463:C463"/>
    <mergeCell ref="A464:C464"/>
    <mergeCell ref="A453:C453"/>
    <mergeCell ref="A454:C454"/>
    <mergeCell ref="A455:C455"/>
    <mergeCell ref="A456:C456"/>
    <mergeCell ref="A457:C457"/>
    <mergeCell ref="A458:C458"/>
    <mergeCell ref="A434:F434"/>
    <mergeCell ref="A436:B436"/>
    <mergeCell ref="A437:B437"/>
    <mergeCell ref="A444:D444"/>
    <mergeCell ref="A445:C445"/>
    <mergeCell ref="A452:C452"/>
    <mergeCell ref="A417:B417"/>
    <mergeCell ref="A418:B418"/>
    <mergeCell ref="A419:B419"/>
    <mergeCell ref="A422:E422"/>
    <mergeCell ref="B427:E427"/>
    <mergeCell ref="C428:E428"/>
    <mergeCell ref="A411:B411"/>
    <mergeCell ref="A412:B412"/>
    <mergeCell ref="A413:B413"/>
    <mergeCell ref="A414:B414"/>
    <mergeCell ref="A415:B415"/>
    <mergeCell ref="A416:B416"/>
    <mergeCell ref="A404:C404"/>
    <mergeCell ref="A406:B406"/>
    <mergeCell ref="A407:B407"/>
    <mergeCell ref="A408:B408"/>
    <mergeCell ref="A409:B409"/>
    <mergeCell ref="A410:B410"/>
    <mergeCell ref="A367:B367"/>
    <mergeCell ref="A368:B368"/>
    <mergeCell ref="A373:E373"/>
    <mergeCell ref="A378:I378"/>
    <mergeCell ref="A380:I380"/>
    <mergeCell ref="A382:A383"/>
    <mergeCell ref="B382:D382"/>
    <mergeCell ref="F382:H382"/>
    <mergeCell ref="A355:B355"/>
    <mergeCell ref="A358:D358"/>
    <mergeCell ref="A360:B360"/>
    <mergeCell ref="A361:B361"/>
    <mergeCell ref="A362:B362"/>
    <mergeCell ref="A365:E365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27:B327"/>
    <mergeCell ref="A328:B328"/>
    <mergeCell ref="A329:B329"/>
    <mergeCell ref="A339:E339"/>
    <mergeCell ref="A341:B341"/>
    <mergeCell ref="A342:B342"/>
    <mergeCell ref="A321:B321"/>
    <mergeCell ref="A322:B322"/>
    <mergeCell ref="A323:B323"/>
    <mergeCell ref="A324:B324"/>
    <mergeCell ref="A325:B325"/>
    <mergeCell ref="A326:B326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6:B306"/>
    <mergeCell ref="G306:H306"/>
    <mergeCell ref="A307:B307"/>
    <mergeCell ref="G307:H307"/>
    <mergeCell ref="A308:B308"/>
    <mergeCell ref="G308:H308"/>
    <mergeCell ref="A296:B296"/>
    <mergeCell ref="A297:B297"/>
    <mergeCell ref="A298:B298"/>
    <mergeCell ref="A299:B299"/>
    <mergeCell ref="A300:B300"/>
    <mergeCell ref="A304:C304"/>
    <mergeCell ref="A290:B290"/>
    <mergeCell ref="A291:B291"/>
    <mergeCell ref="A292:B292"/>
    <mergeCell ref="A293:B293"/>
    <mergeCell ref="A294:B294"/>
    <mergeCell ref="A295:B295"/>
    <mergeCell ref="A283:B283"/>
    <mergeCell ref="E283:I283"/>
    <mergeCell ref="A284:B284"/>
    <mergeCell ref="E284:I284"/>
    <mergeCell ref="A287:D287"/>
    <mergeCell ref="A289:B289"/>
    <mergeCell ref="A280:B280"/>
    <mergeCell ref="E280:I280"/>
    <mergeCell ref="A281:B281"/>
    <mergeCell ref="E281:I281"/>
    <mergeCell ref="A282:B282"/>
    <mergeCell ref="E282:I282"/>
    <mergeCell ref="A277:B277"/>
    <mergeCell ref="E277:I277"/>
    <mergeCell ref="A278:B278"/>
    <mergeCell ref="E278:I278"/>
    <mergeCell ref="A279:B279"/>
    <mergeCell ref="E279:I279"/>
    <mergeCell ref="A274:B274"/>
    <mergeCell ref="E274:I274"/>
    <mergeCell ref="A275:B275"/>
    <mergeCell ref="E275:I275"/>
    <mergeCell ref="A276:B276"/>
    <mergeCell ref="E276:I276"/>
    <mergeCell ref="A249:B249"/>
    <mergeCell ref="A250:B250"/>
    <mergeCell ref="A251:B251"/>
    <mergeCell ref="A254:F254"/>
    <mergeCell ref="A259:E259"/>
    <mergeCell ref="A272:I272"/>
    <mergeCell ref="A243:B243"/>
    <mergeCell ref="A244:B244"/>
    <mergeCell ref="A245:B245"/>
    <mergeCell ref="A246:B246"/>
    <mergeCell ref="A247:B247"/>
    <mergeCell ref="A248:B248"/>
    <mergeCell ref="A236:C236"/>
    <mergeCell ref="A238:B238"/>
    <mergeCell ref="A239:B239"/>
    <mergeCell ref="A240:B240"/>
    <mergeCell ref="A241:B241"/>
    <mergeCell ref="A242:B242"/>
    <mergeCell ref="A227:C227"/>
    <mergeCell ref="A228:C228"/>
    <mergeCell ref="A229:C229"/>
    <mergeCell ref="A230:C230"/>
    <mergeCell ref="A231:C231"/>
    <mergeCell ref="A232:C232"/>
    <mergeCell ref="A221:C221"/>
    <mergeCell ref="A222:C222"/>
    <mergeCell ref="A223:C223"/>
    <mergeCell ref="A224:C224"/>
    <mergeCell ref="A225:C225"/>
    <mergeCell ref="A226:C226"/>
    <mergeCell ref="B211:D211"/>
    <mergeCell ref="B212:D212"/>
    <mergeCell ref="B213:D213"/>
    <mergeCell ref="B214:D214"/>
    <mergeCell ref="A215:D215"/>
    <mergeCell ref="A219:G219"/>
    <mergeCell ref="A206:I206"/>
    <mergeCell ref="A208:D209"/>
    <mergeCell ref="E208:E209"/>
    <mergeCell ref="F208:H208"/>
    <mergeCell ref="I208:I209"/>
    <mergeCell ref="B210:D210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1:I171"/>
    <mergeCell ref="A173:I173"/>
    <mergeCell ref="A174:I174"/>
    <mergeCell ref="A175:B175"/>
    <mergeCell ref="A176:B176"/>
    <mergeCell ref="A177:B177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0:I140"/>
    <mergeCell ref="A142:B142"/>
    <mergeCell ref="A143:B143"/>
    <mergeCell ref="A144:B144"/>
    <mergeCell ref="A145:B145"/>
    <mergeCell ref="A146:B146"/>
    <mergeCell ref="A130:B130"/>
    <mergeCell ref="A131:B131"/>
    <mergeCell ref="A132:B132"/>
    <mergeCell ref="A133:B133"/>
    <mergeCell ref="A134:B134"/>
    <mergeCell ref="A135:B135"/>
    <mergeCell ref="A117:C117"/>
    <mergeCell ref="A118:C118"/>
    <mergeCell ref="A126:D126"/>
    <mergeCell ref="A127:C127"/>
    <mergeCell ref="A128:B128"/>
    <mergeCell ref="A129:B129"/>
    <mergeCell ref="A101:G101"/>
    <mergeCell ref="A102:C102"/>
    <mergeCell ref="A107:G107"/>
    <mergeCell ref="A108:C108"/>
    <mergeCell ref="A109:A110"/>
    <mergeCell ref="B109:F109"/>
    <mergeCell ref="G109:I109"/>
    <mergeCell ref="A66:B66"/>
    <mergeCell ref="A67:C67"/>
    <mergeCell ref="A68:B68"/>
    <mergeCell ref="A69:B69"/>
    <mergeCell ref="A76:E76"/>
    <mergeCell ref="A94:E94"/>
    <mergeCell ref="A60:B60"/>
    <mergeCell ref="A61:B61"/>
    <mergeCell ref="A62:C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C53"/>
    <mergeCell ref="A33:I33"/>
    <mergeCell ref="A41:C43"/>
    <mergeCell ref="A44:C44"/>
    <mergeCell ref="A45:B45"/>
    <mergeCell ref="A46:B46"/>
    <mergeCell ref="A47:B47"/>
    <mergeCell ref="G6:G7"/>
    <mergeCell ref="H6:H7"/>
    <mergeCell ref="I6:I7"/>
    <mergeCell ref="A8:I8"/>
    <mergeCell ref="A18:I18"/>
    <mergeCell ref="A28:I28"/>
    <mergeCell ref="D2:E2"/>
    <mergeCell ref="A3:I3"/>
    <mergeCell ref="A4:I4"/>
    <mergeCell ref="B5:G5"/>
    <mergeCell ref="A6:A7"/>
    <mergeCell ref="B6:B7"/>
    <mergeCell ref="C6:C7"/>
    <mergeCell ref="D6:D7"/>
    <mergeCell ref="E6:E7"/>
    <mergeCell ref="F6:F7"/>
  </mergeCells>
  <pageMargins left="0.11811023622047245" right="0.11811023622047245" top="0.74803149606299213" bottom="0.74803149606299213" header="0.31496062992125984" footer="0.31496062992125984"/>
  <pageSetup paperSize="9" scale="85" firstPageNumber="16" orientation="landscape" useFirstPageNumber="1" r:id="rId1"/>
  <headerFooter>
    <oddHeader>&amp;C&amp;"-,Pogrubiony"Urząd m.st. Warszawy
&amp;"-,Standardowy"Informacja dodatkowa do sprawozdania finansowego za rok obrotowy zakończony 31 grudnia 2022 r.
II. Dodatkowe informacje i objaśnienia
Korekta 1</oddHeader>
    <oddFooter>&amp;R&amp;P</oddFooter>
  </headerFooter>
  <rowBreaks count="20" manualBreakCount="20">
    <brk id="35" max="16383" man="1"/>
    <brk id="73" max="16383" man="1"/>
    <brk id="98" max="16383" man="1"/>
    <brk id="122" max="16383" man="1"/>
    <brk id="137" max="16383" man="1"/>
    <brk id="171" max="16383" man="1"/>
    <brk id="233" max="16383" man="1"/>
    <brk id="269" max="16383" man="1"/>
    <brk id="300" max="16383" man="1"/>
    <brk id="336" max="16383" man="1"/>
    <brk id="375" max="16383" man="1"/>
    <brk id="401" max="16383" man="1"/>
    <brk id="436" max="16383" man="1"/>
    <brk id="471" max="16383" man="1"/>
    <brk id="515" max="16383" man="1"/>
    <brk id="548" max="16383" man="1"/>
    <brk id="572" max="16383" man="1"/>
    <brk id="592" max="16383" man="1"/>
    <brk id="629" max="16383" man="1"/>
    <brk id="6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Bilans</vt:lpstr>
      <vt:lpstr>RZiS</vt:lpstr>
      <vt:lpstr>ZZwFJ</vt:lpstr>
      <vt:lpstr>II.Dodatk_info</vt:lpstr>
      <vt:lpstr>Arkusz4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Czapska Agata</dc:creator>
  <cp:lastModifiedBy>Czapska Agata</cp:lastModifiedBy>
  <dcterms:created xsi:type="dcterms:W3CDTF">2023-05-24T08:37:31Z</dcterms:created>
  <dcterms:modified xsi:type="dcterms:W3CDTF">2023-05-24T08:51:40Z</dcterms:modified>
</cp:coreProperties>
</file>